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330"/>
  <workbookPr defaultThemeVersion="166925"/>
  <bookViews>
    <workbookView xWindow="0" yWindow="0" windowWidth="16100" windowHeight="6780" activeTab="0"/>
  </bookViews>
  <sheets>
    <sheet name="remainderlist" sheetId="1" r:id="rId1"/>
    <sheet name="sell as hurts" sheetId="3" r:id="rId2"/>
    <sheet name="Hay House" sheetId="2" r:id="rId3"/>
  </sheets>
  <externalReferences>
    <externalReference r:id="rId6"/>
  </externalReferences>
  <definedNames>
    <definedName name="_xlnm.Print_Titles" localSheetId="0">'remainderlist'!$1:$1</definedName>
  </definedNames>
  <calcPr calcId="162913"/>
</workbook>
</file>

<file path=xl/sharedStrings.xml><?xml version="1.0" encoding="utf-8"?>
<sst xmlns="http://schemas.openxmlformats.org/spreadsheetml/2006/main" count="4208" uniqueCount="1387">
  <si>
    <t>Title</t>
  </si>
  <si>
    <t>Author</t>
  </si>
  <si>
    <t>R</t>
  </si>
  <si>
    <t>DC</t>
  </si>
  <si>
    <t>Synarski, Susan ; Synarski, Susan</t>
  </si>
  <si>
    <t>SELF</t>
  </si>
  <si>
    <t>PB</t>
  </si>
  <si>
    <t>COOK</t>
  </si>
  <si>
    <t>CL</t>
  </si>
  <si>
    <t>HEAL</t>
  </si>
  <si>
    <t>RELI</t>
  </si>
  <si>
    <t>JN</t>
  </si>
  <si>
    <t>GIFT</t>
  </si>
  <si>
    <t>CHIL</t>
  </si>
  <si>
    <t>BD</t>
  </si>
  <si>
    <t>Zuckerman, Andrew</t>
  </si>
  <si>
    <t>SPOR</t>
  </si>
  <si>
    <t>Morales, Yuyi</t>
  </si>
  <si>
    <t>Nola, Lisa</t>
  </si>
  <si>
    <t>Cl</t>
  </si>
  <si>
    <t>MI</t>
  </si>
  <si>
    <t>jn</t>
  </si>
  <si>
    <t>Miller, Andy J. ; de Reeder, Pierre</t>
  </si>
  <si>
    <t>NP</t>
  </si>
  <si>
    <t>Morano, Aye Jay</t>
  </si>
  <si>
    <t>ARTS</t>
  </si>
  <si>
    <t>Pb</t>
  </si>
  <si>
    <t>Gold, Kerry</t>
  </si>
  <si>
    <t>GETTING IN THE GAP</t>
  </si>
  <si>
    <t>Dyer, Wayne W.</t>
  </si>
  <si>
    <t>self</t>
  </si>
  <si>
    <t>NWAGE</t>
  </si>
  <si>
    <t>LOVE HAS FORGOTTEN NO ONE</t>
  </si>
  <si>
    <t>Renard, Gary R.</t>
  </si>
  <si>
    <t>MIRACLES OF ARCHANGEL GABRIEL</t>
  </si>
  <si>
    <t>Virtue, Doreen</t>
  </si>
  <si>
    <t>THIS IS THE MOMENT!</t>
  </si>
  <si>
    <t>Green, Walter ; Blanchard, Ken</t>
  </si>
  <si>
    <t>LOVE YOUR ENEMIES</t>
  </si>
  <si>
    <t>Salzberg, Sharon ; Thurman, Robert</t>
  </si>
  <si>
    <t>ASSERTIVENESS FOR EARTH ANGELS</t>
  </si>
  <si>
    <t>BELLY FAT CURE SUGAR &amp; CAR</t>
  </si>
  <si>
    <t>Cruise, Jorge</t>
  </si>
  <si>
    <t>TURNING POINT</t>
  </si>
  <si>
    <t>Braden, Gregg</t>
  </si>
  <si>
    <t>I BELIEVE</t>
  </si>
  <si>
    <t>r</t>
  </si>
  <si>
    <t>Taylor, Eldon</t>
  </si>
  <si>
    <t>BEYOND HAPPINESS</t>
  </si>
  <si>
    <t>Kinslow, Frank J</t>
  </si>
  <si>
    <t>CD</t>
  </si>
  <si>
    <t>THROUGH INDIGO'S EYES</t>
  </si>
  <si>
    <t>pb</t>
  </si>
  <si>
    <t>Taylor, Tara ; Schultz Nicholson, Lorna</t>
  </si>
  <si>
    <t>FICT</t>
  </si>
  <si>
    <t>HUNTER/FARMER DIET SOLUTION</t>
  </si>
  <si>
    <t>Liponis, Mark</t>
  </si>
  <si>
    <t>POWER OF SELF-HEALING</t>
  </si>
  <si>
    <t>Mancini, Fabrizio</t>
  </si>
  <si>
    <t>DON'T DIE WITH YOUR MUSIC STIL</t>
  </si>
  <si>
    <t>Dyer, Serena J. ; Dyer, Wayne W.</t>
  </si>
  <si>
    <t>SB</t>
  </si>
  <si>
    <t>WISHES FULFILLED</t>
  </si>
  <si>
    <t>DV</t>
  </si>
  <si>
    <t>ENTANGLED IN DARKNESS</t>
  </si>
  <si>
    <t>King, Deborah</t>
  </si>
  <si>
    <t xml:space="preserve">TAKE 2 </t>
  </si>
  <si>
    <t>Gibbons, Leeza</t>
  </si>
  <si>
    <t>BELLY FAT CURE SUGAR &amp; CARB CO</t>
  </si>
  <si>
    <t xml:space="preserve">IF YOU CAN SEE IT, YOU CAN BE </t>
  </si>
  <si>
    <t>Henderson, Jeff</t>
  </si>
  <si>
    <t>ARCHETYPES</t>
  </si>
  <si>
    <t>Myss, Caroline</t>
  </si>
  <si>
    <t>BI</t>
  </si>
  <si>
    <t>Woodard, Alex</t>
  </si>
  <si>
    <t>BIOG</t>
  </si>
  <si>
    <t>PLANTPLUS DIET SOLUTION</t>
  </si>
  <si>
    <t>Borysenko, Joan</t>
  </si>
  <si>
    <t>MANIFEST MOMENT TO MOMENT</t>
  </si>
  <si>
    <t>Tejpal ; McLaughlin, Carrol</t>
  </si>
  <si>
    <t>NOT MY CHILD</t>
  </si>
  <si>
    <t>Lawlis, Frank</t>
  </si>
  <si>
    <t>FAMI</t>
  </si>
  <si>
    <t>DAILY LOVE</t>
  </si>
  <si>
    <t>Kipp, Mastin</t>
  </si>
  <si>
    <t>TALKRX</t>
  </si>
  <si>
    <t>Sangwan, Neha</t>
  </si>
  <si>
    <t>LIVING BLISS</t>
  </si>
  <si>
    <t>Shealy, C. Norman ; Myss, Caroline</t>
  </si>
  <si>
    <t>IS IT ME OR MY HORMONES?</t>
  </si>
  <si>
    <t>Pick, Marcelle</t>
  </si>
  <si>
    <t>LOVING YOURSELF TO GREAT HEALT</t>
  </si>
  <si>
    <t>Hay, Louise ; Khadro, Ahlea ; Dane, Heather</t>
  </si>
  <si>
    <t>IS IT ME OR MY ADRENALS?</t>
  </si>
  <si>
    <t>SHIFT HAPPENS!</t>
  </si>
  <si>
    <t>Holden, Robert</t>
  </si>
  <si>
    <t>SECRET FEMALE HORMONE</t>
  </si>
  <si>
    <t>Maupin, Kathy C.</t>
  </si>
  <si>
    <t>AFFORMATIONS</t>
  </si>
  <si>
    <t>St. John, Noah ; Assaraf, John</t>
  </si>
  <si>
    <t>HOME IN HARMONY</t>
  </si>
  <si>
    <t>O'Leary, Christa</t>
  </si>
  <si>
    <t>HAPPY HORMONES, SLIM BELLY</t>
  </si>
  <si>
    <t>HOW TO HEAL A GRIEVING HEART</t>
  </si>
  <si>
    <t>Virtue, Doreen ; Van Praagh, James</t>
  </si>
  <si>
    <t>CHOICES AND ILLUSIONS</t>
  </si>
  <si>
    <t>LIGHT BULB MOMENTS</t>
  </si>
  <si>
    <t>Stovall, Talayah ; Brown, Les</t>
  </si>
  <si>
    <t>I CAN SEE CLEARLY NOW</t>
  </si>
  <si>
    <t>WAY OF THE HAMMOCK</t>
  </si>
  <si>
    <t>Odahowski, Marga</t>
  </si>
  <si>
    <t>LIVING PAIN-FREE</t>
  </si>
  <si>
    <t>Virtue, Doreen ; Reeves, Robert</t>
  </si>
  <si>
    <t>BOOK OF AFFORMATIONS</t>
  </si>
  <si>
    <t>NURTURING HEALING LOVE</t>
  </si>
  <si>
    <t>Lewis, Scarlett ; Stoynoff, Natasha</t>
  </si>
  <si>
    <t>ESSENTIAL DOREEN VIRTUE COLLEC</t>
  </si>
  <si>
    <t>ANGEL DETOX</t>
  </si>
  <si>
    <t>MAKE YOUR OWN RULES DIET</t>
  </si>
  <si>
    <t>Stiles, Tara</t>
  </si>
  <si>
    <t>MAKE YOUR OWN RULES COOKBOOK</t>
  </si>
  <si>
    <t>Choquette, Sonia</t>
  </si>
  <si>
    <t>UPLIFTING PRAYERS TO LIGHT YOU</t>
  </si>
  <si>
    <t>HOLY SHIFT!</t>
  </si>
  <si>
    <t>TAPPING SOLUTION FOR WEIGHT LO</t>
  </si>
  <si>
    <t>Ortner, Jessica ; Northrup, Christiane</t>
  </si>
  <si>
    <t>HEAL YOUR MIND</t>
  </si>
  <si>
    <t>Schulz, Mona Lisa ; Hay, Louise</t>
  </si>
  <si>
    <t>TAPPING SOLUTION FOR PAIN RELI</t>
  </si>
  <si>
    <t>Ortner, Nick</t>
  </si>
  <si>
    <t>CONVERSATIONS WITH HISTORY</t>
  </si>
  <si>
    <t>Lander, Susan</t>
  </si>
  <si>
    <t>TOP TEN THINGS DEAD PEOPLE WAN</t>
  </si>
  <si>
    <t>Dooley, Mike</t>
  </si>
  <si>
    <t>ALL-DAY ENERGY DIET</t>
  </si>
  <si>
    <t>Elkaim, Yuri</t>
  </si>
  <si>
    <t>LOVE</t>
  </si>
  <si>
    <t>Stevens, Christina</t>
  </si>
  <si>
    <t>BEYOND PAST LIVES</t>
  </si>
  <si>
    <t>Kelley, Mira ; Dyer, Wayne W</t>
  </si>
  <si>
    <t>YOUR YEAR FOR CHANGE</t>
  </si>
  <si>
    <t>Ware, Bronnie</t>
  </si>
  <si>
    <t>GORGEOUS FOR GOOD</t>
  </si>
  <si>
    <t>Uliano, Sophie</t>
  </si>
  <si>
    <t>EMPOWER YOURSELF</t>
  </si>
  <si>
    <t>Kerr, Miranda</t>
  </si>
  <si>
    <t>FALLING UP</t>
  </si>
  <si>
    <t>Liesegang, Dana ; Stoynoff, Natasha</t>
  </si>
  <si>
    <t>BELLY FAT CURE FAST TRACK</t>
  </si>
  <si>
    <t>BELLY FAT CURE QUICK MEALS</t>
  </si>
  <si>
    <t>STUBBORN FAT GONE!</t>
  </si>
  <si>
    <t>SECRETS FROM CHUCKLING GOAT</t>
  </si>
  <si>
    <t>Jones, Shann Nix</t>
  </si>
  <si>
    <t>10 REASONS YOU FEEL OLD AND GE</t>
  </si>
  <si>
    <t>Lipman, Frank</t>
  </si>
  <si>
    <t>TRUTH OF SPIRITS</t>
  </si>
  <si>
    <t>Baird, Carmel Joy ; Grabski, Tiffany</t>
  </si>
  <si>
    <t>OUT OF THE BLUE</t>
  </si>
  <si>
    <t>Terhune, Mary</t>
  </si>
  <si>
    <t>50 FOR YOUR FUTURE</t>
  </si>
  <si>
    <t>Smiley, Tavis</t>
  </si>
  <si>
    <t>CO-CREATING AT ITS BEST</t>
  </si>
  <si>
    <t>Dyer, Wayne W. ; Hicks, Esther</t>
  </si>
  <si>
    <t>MEMORIES OF HEAVEN</t>
  </si>
  <si>
    <t>Dyer, Wayne ; Garnes, Dee ; Hicks-Garnes, Dianna</t>
  </si>
  <si>
    <t>HEAL YOUR CHILD FROM THE INSID</t>
  </si>
  <si>
    <t>Green, Robin Ray</t>
  </si>
  <si>
    <t>DIVINE NAME</t>
  </si>
  <si>
    <t>Goldman, Jonathan</t>
  </si>
  <si>
    <t>EAT REAL FOOD</t>
  </si>
  <si>
    <t>Montagu, Julie</t>
  </si>
  <si>
    <t>UNCOOK BOOK</t>
  </si>
  <si>
    <t>Maher, Tanya</t>
  </si>
  <si>
    <t>I CAN MAKE YOU HAPPY</t>
  </si>
  <si>
    <t>McKenna, Paul</t>
  </si>
  <si>
    <t>ALLERGY SOLUTION</t>
  </si>
  <si>
    <t>Galland, Leo ; Galland, Jonathan</t>
  </si>
  <si>
    <t>MIND PROGRAMMING</t>
  </si>
  <si>
    <t>FROM JUNK FOOD TO JOY FOOD</t>
  </si>
  <si>
    <t>Bauer, Joy</t>
  </si>
  <si>
    <t>PLAY LIFE MORE BEAUTIFULLY</t>
  </si>
  <si>
    <t>Harvey, Andrew ; Bernstein, Seymour</t>
  </si>
  <si>
    <t>BEING IN BALANCE</t>
  </si>
  <si>
    <t>Kirov, Erica</t>
  </si>
  <si>
    <t>Richmond, Marianne</t>
  </si>
  <si>
    <t>cl</t>
  </si>
  <si>
    <t>Keister, Doug</t>
  </si>
  <si>
    <t>Lord, Maggie</t>
  </si>
  <si>
    <t>Ballard, Marcie</t>
  </si>
  <si>
    <t>CHAA</t>
  </si>
  <si>
    <t>Ayres, James</t>
  </si>
  <si>
    <t>Keith, Hollie ; Adams, Jennifer</t>
  </si>
  <si>
    <t>Brockschmidt, Kev ; Wood, Anita</t>
  </si>
  <si>
    <t>Paprocki, Greg ; King, Bart</t>
  </si>
  <si>
    <t>Coppola, Vanessa ; Roberts, Jennifer</t>
  </si>
  <si>
    <t>Sabatino, Chris</t>
  </si>
  <si>
    <t>Ganderton, Lucinda</t>
  </si>
  <si>
    <t>Stucki, Ron ; Adams, Jennifer</t>
  </si>
  <si>
    <t>Swaim, Jessica ; Phillips, Chet</t>
  </si>
  <si>
    <t>HUM</t>
  </si>
  <si>
    <t>Radford, Megan ; Cook, Peter</t>
  </si>
  <si>
    <t>McCrary, Wiley ; McCrary, Janet ; Condon, Amy</t>
  </si>
  <si>
    <t>Backland, Ged</t>
  </si>
  <si>
    <t>Coleman, Brian ; Kvalsvik, Erik</t>
  </si>
  <si>
    <t>Coombs, Kate ; Arnold, Alli</t>
  </si>
  <si>
    <t>Cross, Eliza</t>
  </si>
  <si>
    <t>Ross, Eddie ; Kochar, Jaithan ; Williams, Bunny</t>
  </si>
  <si>
    <t>Adams, Jennifer ; Stucki, Ron</t>
  </si>
  <si>
    <t>Wescott, David</t>
  </si>
  <si>
    <t>Dymock, Melissa ; Lee, Fran</t>
  </si>
  <si>
    <t>Barber, Casey</t>
  </si>
  <si>
    <t>Wood, Anita ; Brockschmidt, Kev</t>
  </si>
  <si>
    <t>Baird, Madge</t>
  </si>
  <si>
    <t>Del Gatto, Davide ; Gustafsson, Kristina</t>
  </si>
  <si>
    <t>Sheppard Buchert, Ellen ; Buchert, Ellen ; Buchert Smith, Johanna</t>
  </si>
  <si>
    <t>Karlzon, Hanna</t>
  </si>
  <si>
    <t>PC</t>
  </si>
  <si>
    <t>Vasquez, Paula</t>
  </si>
  <si>
    <t>DeVries Sokol, Dawn</t>
  </si>
  <si>
    <t>Trolle, Maria</t>
  </si>
  <si>
    <t>Sanders, Jane</t>
  </si>
  <si>
    <t>Mack, Jeff</t>
  </si>
  <si>
    <t>BUSI</t>
  </si>
  <si>
    <t>Jn</t>
  </si>
  <si>
    <t>Frankeny, Frankie ; Lucchesi, Paolo ; Godby, Jake</t>
  </si>
  <si>
    <t>Schloss, Andrew ; Benson, Alan</t>
  </si>
  <si>
    <t>Estellon, Pascal ; MoMA</t>
  </si>
  <si>
    <t>Harrison, Sabrina Ward</t>
  </si>
  <si>
    <t>YOU ARE MY BABY: SAFARI</t>
  </si>
  <si>
    <t>Siminovich, Lorena</t>
  </si>
  <si>
    <t>Morford, Katie Sullivan ; Martine, Jennifer</t>
  </si>
  <si>
    <t>SCI</t>
  </si>
  <si>
    <t>Klivans, Elinor ; Kim, Yunhee</t>
  </si>
  <si>
    <t>Gleason, Colleen</t>
  </si>
  <si>
    <t>KT</t>
  </si>
  <si>
    <t>Butler, Amy ; Butler, David</t>
  </si>
  <si>
    <t>Hill, Louella ; Kunkel, Erin</t>
  </si>
  <si>
    <t>MacColl, Michaela</t>
  </si>
  <si>
    <t>Rubin, Susan</t>
  </si>
  <si>
    <t>Sagendorph, Jean ; Sheehan, Jessie</t>
  </si>
  <si>
    <t>Goodman, Myra ; Goodman, Marea ; Remington, Sara</t>
  </si>
  <si>
    <t>ST</t>
  </si>
  <si>
    <t>Payne, Bridget Watson ; Talese, Nan A.</t>
  </si>
  <si>
    <t>Hancock, James Gulliver</t>
  </si>
  <si>
    <t>Solomon, Charles ; Lasseter, John</t>
  </si>
  <si>
    <t>Herschend, Jonn ; Rogan, Will</t>
  </si>
  <si>
    <t>Jacobson, Abbi</t>
  </si>
  <si>
    <t>Becker, Holly ; Shewring, Leslie</t>
  </si>
  <si>
    <t>Applebaum, Ben ; DiSorbo, Dan</t>
  </si>
  <si>
    <t>Elmlid, Malin</t>
  </si>
  <si>
    <t>Horstschaefer, Felicitas</t>
  </si>
  <si>
    <t>Letria, Jose Jorge ; Letria, Andre</t>
  </si>
  <si>
    <t>Lasseter, John ; Stanton, Andrew ; Pilcher, Steve</t>
  </si>
  <si>
    <t>Swerling, Lisa ; Lazar, Ralph</t>
  </si>
  <si>
    <t>Slonecker, Andrea ; Reamer, David L.</t>
  </si>
  <si>
    <t>Cano, Felipe ; Aguilar, Laia</t>
  </si>
  <si>
    <t>Lamana, Julie T.</t>
  </si>
  <si>
    <t>Kephart, Beth</t>
  </si>
  <si>
    <t>Ferry, Beth ; Mantle, Ben ; Mantle, Ben</t>
  </si>
  <si>
    <t>Chronicle Books</t>
  </si>
  <si>
    <t>Stones, Greg</t>
  </si>
  <si>
    <t>Marceau, Fani ; Jolivet, Joelle</t>
  </si>
  <si>
    <t>Chu, Anita ; Achilleos, Antonis</t>
  </si>
  <si>
    <t>Weiner, Ellis ; Holmes, Jeremy</t>
  </si>
  <si>
    <t>Hearst, Michael ; Scamihorn, Aaron</t>
  </si>
  <si>
    <t>O'Neill, Fifi</t>
  </si>
  <si>
    <t>Miller-Zarneke, Tracey ; Lasseter, John ; Hall, Klay</t>
  </si>
  <si>
    <t>Tendler, Annamarie ; Ouellette, Justin</t>
  </si>
  <si>
    <t>Polan, Jason ; Wiig, Kristen</t>
  </si>
  <si>
    <t>Player, Micah</t>
  </si>
  <si>
    <t>Okui, Jessica ; Cao, Angie</t>
  </si>
  <si>
    <t>LaRochelle, David ; Chou, Joey</t>
  </si>
  <si>
    <t>BG</t>
  </si>
  <si>
    <t>Medeiros, Giovana</t>
  </si>
  <si>
    <t>Watson, Molly ; De Leo, Joseph</t>
  </si>
  <si>
    <t>Clements, Kirstie</t>
  </si>
  <si>
    <t>Gunders, Dana</t>
  </si>
  <si>
    <t>Wang, Jack ; Wang, Holman</t>
  </si>
  <si>
    <t>Nataraj, Nirmala ; Nye, Bill</t>
  </si>
  <si>
    <t>Snyder, Carla ; Franzen, Nicole</t>
  </si>
  <si>
    <t>Khoo, Rachel ; Loftus, David</t>
  </si>
  <si>
    <t>Goldman Foung, Jessica ; Lee, John</t>
  </si>
  <si>
    <t>Poehler, Amy ; Docter, Pete</t>
  </si>
  <si>
    <t>Zeltser, David ; Goode, Diane</t>
  </si>
  <si>
    <t>Conway, Susannah ; Storey, Helen</t>
  </si>
  <si>
    <t>Chaud, Benjamin</t>
  </si>
  <si>
    <t>Farber, E.S. ; Warrick, Jessica</t>
  </si>
  <si>
    <t>Moskowitz, Hannah ; Helgeson, Kat</t>
  </si>
  <si>
    <t>Klika, Brett</t>
  </si>
  <si>
    <t>Yoo, Alice ; Kim, Eugene</t>
  </si>
  <si>
    <t>MF</t>
  </si>
  <si>
    <t>Henry de Tessan, Christina</t>
  </si>
  <si>
    <t>Clark, Robert ; Zimmer, Carl ; Clark, Robert</t>
  </si>
  <si>
    <t>OMalley, Susan</t>
  </si>
  <si>
    <t>Walsh, Robb ; Savell, Jeffrey W.</t>
  </si>
  <si>
    <t>Chapman, Ryan</t>
  </si>
  <si>
    <t>Sage, Anne ; Johnston, Emily</t>
  </si>
  <si>
    <t>Sales, Leila</t>
  </si>
  <si>
    <t>Singer, Marilyn ; Young, Ed</t>
  </si>
  <si>
    <t>Jonath, Leslie ; Stewart, Lizzy</t>
  </si>
  <si>
    <t>Shim, Sally J ; Wanger, Max</t>
  </si>
  <si>
    <t>Blade, Michelle ; Altman, Jen</t>
  </si>
  <si>
    <t>McInnis, Mallory</t>
  </si>
  <si>
    <t>Beckerman, Alex</t>
  </si>
  <si>
    <t>Hussenot, Victor</t>
  </si>
  <si>
    <t>Sakai, Sonoko ; Armendariz, Matt</t>
  </si>
  <si>
    <t>Izazi, Nadia</t>
  </si>
  <si>
    <t>Congdon, Lisa</t>
  </si>
  <si>
    <t>Boyd, Lizi</t>
  </si>
  <si>
    <t>Potter, Carissa</t>
  </si>
  <si>
    <t>Pollard, Justin ; Hirst, Michael</t>
  </si>
  <si>
    <t>Ferreira, Charity ; De Leo, Joseph</t>
  </si>
  <si>
    <t>Soto, Gary</t>
  </si>
  <si>
    <t>Yanagihara, Dawn ; Cao, Angie</t>
  </si>
  <si>
    <t>Rossellini, Isabella ; Schirmer, Lothar</t>
  </si>
  <si>
    <t>KITCHEN STICKY NOTES + TO-DO L</t>
  </si>
  <si>
    <t>T., Maya</t>
  </si>
  <si>
    <t>Alkayat, Zena ; Cosford, Nina</t>
  </si>
  <si>
    <t>Starr, Lara</t>
  </si>
  <si>
    <t>Hatch, Molly</t>
  </si>
  <si>
    <t>CT</t>
  </si>
  <si>
    <t>Lazar, Ralph ; Swerling, Lisa</t>
  </si>
  <si>
    <t>Wang, Holman ; Wang, Jack</t>
  </si>
  <si>
    <t>Bierut, Michael ; Hewitt, 'Cooper ; Lasseter, John</t>
  </si>
  <si>
    <t>Dixon, Chris</t>
  </si>
  <si>
    <t>EW</t>
  </si>
  <si>
    <t>Mickenberg, Risa ; Dugan, Joanne ; Hughes, Brian Lee</t>
  </si>
  <si>
    <t>Harris, Samantha</t>
  </si>
  <si>
    <t>Davis, Oslo</t>
  </si>
  <si>
    <t>LOVE IS A SECRET 2ndED</t>
  </si>
  <si>
    <t>Vidich, Andrew ; Andrew, Vidich</t>
  </si>
  <si>
    <t>Kiser, Joy M.</t>
  </si>
  <si>
    <t>Spivack, Emily</t>
  </si>
  <si>
    <t>Lippert, Kevin</t>
  </si>
  <si>
    <t>Granet, Keith</t>
  </si>
  <si>
    <t>Thwaites, Thomas</t>
  </si>
  <si>
    <t>Deeds Jr., James Edward ; Diamant, Harris ; Goodman, Richard</t>
  </si>
  <si>
    <t>Lingle, Blake</t>
  </si>
  <si>
    <t>Rauschenberg, Christopher</t>
  </si>
  <si>
    <t>Goodman, Andy</t>
  </si>
  <si>
    <t>Perret, Delphine</t>
  </si>
  <si>
    <t>Rand, Paul ; Rand, Ann</t>
  </si>
  <si>
    <t>Geis, Patricia</t>
  </si>
  <si>
    <t>Rothenstein, Julian ; McWilliam, Candia</t>
  </si>
  <si>
    <t>Harmon, Katharine</t>
  </si>
  <si>
    <t>Chamberlin, Lou</t>
  </si>
  <si>
    <t>Dadon, Jess ; Dadon, Stef</t>
  </si>
  <si>
    <t>Holder, Katy</t>
  </si>
  <si>
    <t>Bennett, Simone</t>
  </si>
  <si>
    <t>Wheeler, Tony</t>
  </si>
  <si>
    <t>O'Donoghue, Ben</t>
  </si>
  <si>
    <t>Hunter, Jesse</t>
  </si>
  <si>
    <t>Oseland, James ; Coren, Giles ; Day-Lewis, Tamasin</t>
  </si>
  <si>
    <t>Ashby, Johanna ; Leviton, Alex</t>
  </si>
  <si>
    <t>Hynes, Margaret</t>
  </si>
  <si>
    <t>Gifford, Clive</t>
  </si>
  <si>
    <t>Gourlay, Will ; Waterson, Luke ; Ranger, Helen</t>
  </si>
  <si>
    <t>Holmes, Nigel</t>
  </si>
  <si>
    <t>Lansky, Doug</t>
  </si>
  <si>
    <t>Guelpa, Emilie</t>
  </si>
  <si>
    <t>Mackintosh, Michelle</t>
  </si>
  <si>
    <t>Gunn, Anthony</t>
  </si>
  <si>
    <t>Bennett, Shannon ; Murray, Scott</t>
  </si>
  <si>
    <t>Rodski, Stan</t>
  </si>
  <si>
    <t>O'Donahoo, Jade</t>
  </si>
  <si>
    <t>Barbounis, Pana</t>
  </si>
  <si>
    <t>Santamaria, Giuseppe</t>
  </si>
  <si>
    <t>Perry, Josephine</t>
  </si>
  <si>
    <t>Studio Rarekwai (SRK)</t>
  </si>
  <si>
    <t>Hauser, Kitty ; Christoforou, Christina ; Ingram, Catherine</t>
  </si>
  <si>
    <t>Roddam, George ; Harasymowicz, Slawa ; Ingram, Catherine</t>
  </si>
  <si>
    <t>KesselsKramer</t>
  </si>
  <si>
    <t>Booth, Sam ; Plunkett, Drew</t>
  </si>
  <si>
    <t>Heller, Steven ; Godfrey, Jason</t>
  </si>
  <si>
    <t>Boulton, Jim</t>
  </si>
  <si>
    <t>Ware, Lesley</t>
  </si>
  <si>
    <t>Bowles, Melanie</t>
  </si>
  <si>
    <t>Elliot, Samantha</t>
  </si>
  <si>
    <t>Scott, Linda</t>
  </si>
  <si>
    <t>Rickey, Melanie ; Baker, Kent</t>
  </si>
  <si>
    <t>ONE-MINUTE MINDFULNESS</t>
  </si>
  <si>
    <t>Parke, Simon</t>
  </si>
  <si>
    <t>CONSCIOUS WRITING</t>
  </si>
  <si>
    <t>McCutchen, Julia</t>
  </si>
  <si>
    <t>LANDIC</t>
  </si>
  <si>
    <t>WILD AWAKENING</t>
  </si>
  <si>
    <t>Daniels, Mary</t>
  </si>
  <si>
    <t>HOW TO BE WELL</t>
  </si>
  <si>
    <t>Wynne, Abby</t>
  </si>
  <si>
    <t>#HIGHERSELFIE</t>
  </si>
  <si>
    <t>Sheridan, Lucy ; Westwood, Jo</t>
  </si>
  <si>
    <t>Huet-Gomez, Christelle ; Guedes, Valery</t>
  </si>
  <si>
    <t>Hossack, Izy</t>
  </si>
  <si>
    <t>Linton, Jessy ; Akhuetie, Taiba</t>
  </si>
  <si>
    <t>Morris, Annie ; Shimmin, Jonny</t>
  </si>
  <si>
    <t>Moritz, Sylvia ; Ottesen, Rowan</t>
  </si>
  <si>
    <t>Scobie, Lorna</t>
  </si>
  <si>
    <t>Price, Michael ; Devedlaka-Price, Natasha</t>
  </si>
  <si>
    <t>Broadhead, Margie</t>
  </si>
  <si>
    <t>Jackson, Guy ; Farrar, Celia</t>
  </si>
  <si>
    <t>Dickinson, Bec</t>
  </si>
  <si>
    <t>Devedlaka-Price, Natasha</t>
  </si>
  <si>
    <t>Bez, David</t>
  </si>
  <si>
    <t>Wilkins, Sasha ; Linder, Lisa</t>
  </si>
  <si>
    <t>Tish, Ben ; Kirkham, Kris</t>
  </si>
  <si>
    <t>McDonald, Brad ; Sewell, Andy</t>
  </si>
  <si>
    <t>Carluccio, Antonio ; Edwards, Laura</t>
  </si>
  <si>
    <t>Gyngell, Skye ; Sewell, Andy</t>
  </si>
  <si>
    <t>Forti, Melissa ; Bernardini, Danny</t>
  </si>
  <si>
    <t>Nicholas, Rosy ; Laycock, Adam</t>
  </si>
  <si>
    <t>Kidston, Cath ; Platts, Rita</t>
  </si>
  <si>
    <t>Keshtgar, Mohammed ; Jonzen, Emily ; Thompson, Alastair M.</t>
  </si>
  <si>
    <t>Cosford, Nina</t>
  </si>
  <si>
    <t>Kidston, Cath</t>
  </si>
  <si>
    <t>Lightbody, Kim</t>
  </si>
  <si>
    <t>Steyn, Zita ; Rothacker, Nassima</t>
  </si>
  <si>
    <t>Various artists</t>
  </si>
  <si>
    <t>Nowell, Iris</t>
  </si>
  <si>
    <t>Misko, BBQ Brian</t>
  </si>
  <si>
    <t>Jacques, Michelle</t>
  </si>
  <si>
    <t>Klausner, Amos</t>
  </si>
  <si>
    <t>SHIFT</t>
  </si>
  <si>
    <t>RETURNING TO THE LAKOTA WAY</t>
  </si>
  <si>
    <t>Marshall, Joseph M.</t>
  </si>
  <si>
    <t>SOC</t>
  </si>
  <si>
    <t>REMEMBERING PROCESS</t>
  </si>
  <si>
    <t>Barrett, Daniel ; Vitale, Joe ; Hendricks, Gay</t>
  </si>
  <si>
    <t>Maupin, Kathy C. ; Newcomb, Brett</t>
  </si>
  <si>
    <t>TIMEWATCH</t>
  </si>
  <si>
    <t>Grant, Linda</t>
  </si>
  <si>
    <t>Taylor, Eldon ; Enescu, Cristian</t>
  </si>
  <si>
    <t>ABUNDANCE LOOP</t>
  </si>
  <si>
    <t>Park, Juliana</t>
  </si>
  <si>
    <t>WOO-HOO ... CHRIS P. IS 2!</t>
  </si>
  <si>
    <t>Lucero, Len ; Tracy, Kristina</t>
  </si>
  <si>
    <t>INTERNET TO THE INNER-NET</t>
  </si>
  <si>
    <t>Kallayil, Gopi</t>
  </si>
  <si>
    <t>MORE THAN YOU SEE</t>
  </si>
  <si>
    <t>Hicks, Esther</t>
  </si>
  <si>
    <t>REAL FOOD REVOLUTION</t>
  </si>
  <si>
    <t>Ryan, Tim</t>
  </si>
  <si>
    <t>PAIN CURE RX</t>
  </si>
  <si>
    <t>Yass, Mitchell</t>
  </si>
  <si>
    <t>CONSCIOUS LOVING EVER AFTER</t>
  </si>
  <si>
    <t>Hendricks, Gay ; Hendricks, Kathlyn</t>
  </si>
  <si>
    <t>FOR THE SENDER</t>
  </si>
  <si>
    <t>Ware, Ciji</t>
  </si>
  <si>
    <t>Crompton, Anne Eliot</t>
  </si>
  <si>
    <t>Fast, Howard</t>
  </si>
  <si>
    <t>Blake, Jennifer</t>
  </si>
  <si>
    <t>Kirov, Erica ; Fortune, Eric</t>
  </si>
  <si>
    <t>Kay, Susan</t>
  </si>
  <si>
    <t>Pargeter, Edith</t>
  </si>
  <si>
    <t>Hollick, Helen</t>
  </si>
  <si>
    <t>Ashley, Phillipa</t>
  </si>
  <si>
    <t>Sandlin, Tim</t>
  </si>
  <si>
    <t>McBain, Laurie</t>
  </si>
  <si>
    <t>Grange, Amanda ; Lathan, Sharon ; Eberhart, Carolyn</t>
  </si>
  <si>
    <t>Admirand, C.H.</t>
  </si>
  <si>
    <t>Nation, Kaleb</t>
  </si>
  <si>
    <t>Black, Bekka</t>
  </si>
  <si>
    <t>Preble, Joy</t>
  </si>
  <si>
    <t>Dunn, Matt</t>
  </si>
  <si>
    <t>Woolley, Persia</t>
  </si>
  <si>
    <t>Roberts, Belinda</t>
  </si>
  <si>
    <t>Gumm, Joe</t>
  </si>
  <si>
    <t>Tanen, Sloane</t>
  </si>
  <si>
    <t>Baker, Jeanette</t>
  </si>
  <si>
    <t>Rigaud, Heather</t>
  </si>
  <si>
    <t>Wexler, Sarah</t>
  </si>
  <si>
    <t>Ganny, Charlee</t>
  </si>
  <si>
    <t>Storm, Hannah ; Jenkins, Mark</t>
  </si>
  <si>
    <t>Seifert, Christine</t>
  </si>
  <si>
    <t>Hieber, Leanna Renee</t>
  </si>
  <si>
    <t>Cohen, Kerry</t>
  </si>
  <si>
    <t>Corday, Ken</t>
  </si>
  <si>
    <t>Williams, Tony</t>
  </si>
  <si>
    <t>Kelley, Karen</t>
  </si>
  <si>
    <t>Ruhalter, Eric</t>
  </si>
  <si>
    <t>Conroy, Quinn</t>
  </si>
  <si>
    <t>Hadady, Letha</t>
  </si>
  <si>
    <t>Berg, Gretchen</t>
  </si>
  <si>
    <t>Mossanen, Dora Levy</t>
  </si>
  <si>
    <t>Mason, Phil</t>
  </si>
  <si>
    <t>Bittner, Rosanne</t>
  </si>
  <si>
    <t>Anthony, Iris</t>
  </si>
  <si>
    <t>Aviles, Adrian ; Gregg, David</t>
  </si>
  <si>
    <t>Wattenberg, Jane</t>
  </si>
  <si>
    <t>Stanton, Lynne</t>
  </si>
  <si>
    <t>Kirkham, Pat ; Moore, Pat ; Wolfframm, Pirco</t>
  </si>
  <si>
    <t>TEN THOUSAND STORIES</t>
  </si>
  <si>
    <t>Swanson, Matthew ; Behr, Robbi</t>
  </si>
  <si>
    <t>Sobol, Gianna ; Ball, Alan ; Hayes, Benjamin</t>
  </si>
  <si>
    <t>Peterson, James</t>
  </si>
  <si>
    <t>Fl@33</t>
  </si>
  <si>
    <t>Oliveros, Chris</t>
  </si>
  <si>
    <t>Vahamaki, Amanda</t>
  </si>
  <si>
    <t>Blanchet, Pascal</t>
  </si>
  <si>
    <t>Kerr, Vickie</t>
  </si>
  <si>
    <t>Newman, Peter C. ; Levine, Allan</t>
  </si>
  <si>
    <t>Umstead, Jon</t>
  </si>
  <si>
    <t>new</t>
  </si>
  <si>
    <t>Subtitle</t>
  </si>
  <si>
    <t>Age Group</t>
  </si>
  <si>
    <t>Heath Ceramics</t>
  </si>
  <si>
    <t>The Complexity of Simplicity</t>
  </si>
  <si>
    <t/>
  </si>
  <si>
    <t>SO</t>
  </si>
  <si>
    <t>1</t>
  </si>
  <si>
    <t>14F</t>
  </si>
  <si>
    <t>Magickeepers: The Eternal Hourglass</t>
  </si>
  <si>
    <t>Sourcebooks</t>
  </si>
  <si>
    <t>10S</t>
  </si>
  <si>
    <t>9 and up</t>
  </si>
  <si>
    <t>Magickeepers: The Chalice of Immortality</t>
  </si>
  <si>
    <t>11S</t>
  </si>
  <si>
    <t>9-12</t>
  </si>
  <si>
    <t>Beautiful Blue Eyes</t>
  </si>
  <si>
    <t>OP</t>
  </si>
  <si>
    <t>4 years and up</t>
  </si>
  <si>
    <t>The Predicteds</t>
  </si>
  <si>
    <t>11F</t>
  </si>
  <si>
    <t>13-17 years</t>
  </si>
  <si>
    <t>150 Secrets to a Happy Wife</t>
  </si>
  <si>
    <t>The Twits</t>
  </si>
  <si>
    <t>Real Celebrities. Real Tweets. Real Funny.</t>
  </si>
  <si>
    <t>12S</t>
  </si>
  <si>
    <t>Awful First Dates</t>
  </si>
  <si>
    <t>Hysterical, True, and Heartbreakingly Bad</t>
  </si>
  <si>
    <t>College Survival Coupons</t>
  </si>
  <si>
    <t>22 Lifelines to Help You Survive College</t>
  </si>
  <si>
    <t>Dirty Little Secrets</t>
  </si>
  <si>
    <t>Breaking the Silence on Teenage Girls and Promiscuity</t>
  </si>
  <si>
    <t>Last Romanov</t>
  </si>
  <si>
    <t>A Novel</t>
  </si>
  <si>
    <t>Easter Bunny Coupons</t>
  </si>
  <si>
    <t>5-10 years</t>
  </si>
  <si>
    <t>Mr. Darcy Goes Overboard</t>
  </si>
  <si>
    <t>A Tale of Tide &amp; Prejudice</t>
  </si>
  <si>
    <t>I'm Not Tired Yet!</t>
  </si>
  <si>
    <t>OSI</t>
  </si>
  <si>
    <t>4-8</t>
  </si>
  <si>
    <t>iDrakula</t>
  </si>
  <si>
    <t>10F</t>
  </si>
  <si>
    <t>12-17 years</t>
  </si>
  <si>
    <t>Ex-Girlfriends United</t>
  </si>
  <si>
    <t>Dan used to get the girls. Now the girls are getting him back.</t>
  </si>
  <si>
    <t>My Glorious Brothers</t>
  </si>
  <si>
    <t>Queen of the Summer Stars</t>
  </si>
  <si>
    <t>Book Two of the Guinevere Trilogy</t>
  </si>
  <si>
    <t>Percival's Angel</t>
  </si>
  <si>
    <t>13 years and up</t>
  </si>
  <si>
    <t>Wish You Were Here</t>
  </si>
  <si>
    <t>Western Swing</t>
  </si>
  <si>
    <t>Darker Still</t>
  </si>
  <si>
    <t>A Novel of Magic Most Foul</t>
  </si>
  <si>
    <t>12 years and up</t>
  </si>
  <si>
    <t>Glam Notes</t>
  </si>
  <si>
    <t>101 Ways to Feel Fabulous</t>
  </si>
  <si>
    <t>SEL023000</t>
  </si>
  <si>
    <t>12s</t>
  </si>
  <si>
    <t>A Darcy Christmas</t>
  </si>
  <si>
    <t>Moonstruck Madness</t>
  </si>
  <si>
    <t>Wildest Dreams</t>
  </si>
  <si>
    <t>A poignant, epic western historical romance</t>
  </si>
  <si>
    <t>The Days of our Lives</t>
  </si>
  <si>
    <t>The Untold Story of One Family's Dream and the True History of Days of our Lives</t>
  </si>
  <si>
    <t>Chihuawolf</t>
  </si>
  <si>
    <t>A Tail of Mystery and Horror</t>
  </si>
  <si>
    <t>9-12 years</t>
  </si>
  <si>
    <t>I Am the Chosen King</t>
  </si>
  <si>
    <t>One Kingdom, Two Men, One Crown</t>
  </si>
  <si>
    <t>Instant Fortunes</t>
  </si>
  <si>
    <t>Words of Insight and Wisdom</t>
  </si>
  <si>
    <t>SEL021000</t>
  </si>
  <si>
    <t>2</t>
  </si>
  <si>
    <t>12F</t>
  </si>
  <si>
    <t>Dead Man Wins Election</t>
  </si>
  <si>
    <t>The Ultimate Collection of Outrageous, Weird, and Unbelievable Political Tales</t>
  </si>
  <si>
    <t>Silver-Tongued Devil</t>
  </si>
  <si>
    <t>Irish Lady</t>
  </si>
  <si>
    <t>Tears of Gold</t>
  </si>
  <si>
    <t>A Bloody Field by Shrewsbury</t>
  </si>
  <si>
    <t>A King, a Prince, and the Knight Who Betrayed Their Dynasty</t>
  </si>
  <si>
    <t>Go Girl!</t>
  </si>
  <si>
    <t>Raising Healthy, Confident and Successful Girls through Sports</t>
  </si>
  <si>
    <t>FAM034000</t>
  </si>
  <si>
    <t>Where There's a Will</t>
  </si>
  <si>
    <t>The Kid Dictionary</t>
  </si>
  <si>
    <t>Hilarious Words to Describe the Indescribable Things Kids Do</t>
  </si>
  <si>
    <t>Nell</t>
  </si>
  <si>
    <t>Anastasia Forever</t>
  </si>
  <si>
    <t>Dreaming Anastasia series</t>
  </si>
  <si>
    <t>Midnight on Julia Street</t>
  </si>
  <si>
    <t>Legacy</t>
  </si>
  <si>
    <t>The Acclaimed Novel Of Elizabeth, England's Most Passionate Queen -- and the Three Men Who Loved Her</t>
  </si>
  <si>
    <t>Bran Hambric</t>
  </si>
  <si>
    <t>The Farfield Curse</t>
  </si>
  <si>
    <t>Fitzwilliam Darcy, Rock Star</t>
  </si>
  <si>
    <t>The Pox and the Covenant</t>
  </si>
  <si>
    <t>Mather, Franklin, and the Epidemic That Changed America's Destiny</t>
  </si>
  <si>
    <t>Are You Going to Kiss Me Now?</t>
  </si>
  <si>
    <t>Made &amp; Sold</t>
  </si>
  <si>
    <t>Products by Graphic Designers, Artists and Illustrators</t>
  </si>
  <si>
    <t>09F</t>
  </si>
  <si>
    <t>Tyler</t>
  </si>
  <si>
    <t>The Secret Life of Cowboys, Book one</t>
  </si>
  <si>
    <t>I Have Iraq in My Shoe</t>
  </si>
  <si>
    <t>Misadventures of a Soldier of Fashion</t>
  </si>
  <si>
    <t>BIO026000</t>
  </si>
  <si>
    <t>IS</t>
  </si>
  <si>
    <t>8 and up</t>
  </si>
  <si>
    <t>Humphrey Slocombe Ice Cream Book</t>
  </si>
  <si>
    <t>Slice &amp; Bake Cookies</t>
  </si>
  <si>
    <t>Fast Recipes from your Refrigerator or Freezer</t>
  </si>
  <si>
    <t>13S</t>
  </si>
  <si>
    <t>Sex Fortunes</t>
  </si>
  <si>
    <t>Becoming Bold &amp; Beautiful</t>
  </si>
  <si>
    <t>25 Years of Making the World's Most Popular Daytime Soap Opera</t>
  </si>
  <si>
    <t>Naturally Pain Free</t>
  </si>
  <si>
    <t>Prevent and Treat Chronic and Acute Pains-Naturally</t>
  </si>
  <si>
    <t>Ruins of Lace</t>
  </si>
  <si>
    <t>A Kiss Goodnight</t>
  </si>
  <si>
    <t>And Other Romance Coupons</t>
  </si>
  <si>
    <t>FAM029000</t>
  </si>
  <si>
    <t>Baloney</t>
  </si>
  <si>
    <t>09W</t>
  </si>
  <si>
    <t>Drawn &amp; Quarterly Showcase Book 4</t>
  </si>
  <si>
    <t>06S</t>
  </si>
  <si>
    <t>The Bun Field</t>
  </si>
  <si>
    <t>Bread Journal</t>
  </si>
  <si>
    <t>A Year of Weekly Baking</t>
  </si>
  <si>
    <t>True Blood Drinks &amp; Bites</t>
  </si>
  <si>
    <t>Mrs. Mustard's Baby Faces Stroller Cards</t>
  </si>
  <si>
    <t>osi</t>
  </si>
  <si>
    <t>Infant-3</t>
  </si>
  <si>
    <t>The Shift</t>
  </si>
  <si>
    <t>Taking Your Life from Ambition to Meaning</t>
  </si>
  <si>
    <t>Hay House Publishing Ltd</t>
  </si>
  <si>
    <t>10W</t>
  </si>
  <si>
    <t>SEL031000</t>
  </si>
  <si>
    <t>Done.</t>
  </si>
  <si>
    <t>A Cook's Guide to Knowing When Food Is Perfectly Cooked</t>
  </si>
  <si>
    <t>14S</t>
  </si>
  <si>
    <t>Choices and Illusions</t>
  </si>
  <si>
    <t>How Did I Get Where I Am, and How Do I Get Where I Want to Be?</t>
  </si>
  <si>
    <t>OCC014000</t>
  </si>
  <si>
    <t>13F</t>
  </si>
  <si>
    <t>Being In Balance</t>
  </si>
  <si>
    <t>9 Principles for Creating Habits to Match Your Desires</t>
  </si>
  <si>
    <t>06F</t>
  </si>
  <si>
    <t>Ten Thousand Stories</t>
  </si>
  <si>
    <t>An Ever-Changing Tale of Tragic Happenings</t>
  </si>
  <si>
    <t>ART000000</t>
  </si>
  <si>
    <t>Eva Zeisel</t>
  </si>
  <si>
    <t>Life, Design, and Beauty</t>
  </si>
  <si>
    <t>Ah Ha!</t>
  </si>
  <si>
    <t>3-8</t>
  </si>
  <si>
    <t>The Belly Fat Cure Sugar &amp; Carb Counter</t>
  </si>
  <si>
    <t>Revised &amp; Updated Edition, with 100's of New Items Added!</t>
  </si>
  <si>
    <t>HEA006000</t>
  </si>
  <si>
    <t>Through Indigo's Eyes</t>
  </si>
  <si>
    <t>Why Two Little Words Mean So Much</t>
  </si>
  <si>
    <t>FIC000000</t>
  </si>
  <si>
    <t>Bird Watching and Other Nature Observations</t>
  </si>
  <si>
    <t>A Journal</t>
  </si>
  <si>
    <t>Is It Me or My Adrenals?</t>
  </si>
  <si>
    <t>Your Proven 30-Day Program for Overcoming Adrenal Fatigue and Feeling Fantastic</t>
  </si>
  <si>
    <t>HEA024000</t>
  </si>
  <si>
    <t>13W</t>
  </si>
  <si>
    <t>The Miracles of Archangel Gabriel</t>
  </si>
  <si>
    <t>The Book of Afformations</t>
  </si>
  <si>
    <t>Discovering the Missing Piece to Abundant Health, Wealth, Love, and Happiness</t>
  </si>
  <si>
    <t>SEL000000</t>
  </si>
  <si>
    <t>Entangled In Darkness</t>
  </si>
  <si>
    <t>Seeking the Light</t>
  </si>
  <si>
    <t>Is It Me or My Hormones?</t>
  </si>
  <si>
    <t>The Good, the Bad, and the Ugly about PMS, Perimenopause, and All the Crazy Things that Occur with Hormone Imbalance</t>
  </si>
  <si>
    <t>14W</t>
  </si>
  <si>
    <t>Always Emily</t>
  </si>
  <si>
    <t>12 and up</t>
  </si>
  <si>
    <t>The Vogue Factor</t>
  </si>
  <si>
    <t>The Inside Story of Fashion's Most Illustrious Magazine</t>
  </si>
  <si>
    <t>New York Jackie</t>
  </si>
  <si>
    <t>Pictures from Her Life in the City</t>
  </si>
  <si>
    <t>Decorate With Flowers</t>
  </si>
  <si>
    <t>Creative Arrangements * Styling Inspiration * Container Projects * Design Tips</t>
  </si>
  <si>
    <t>The Bar Hopper Handbook</t>
  </si>
  <si>
    <t>Scam a Drink, Score a Date, and Rule the Night</t>
  </si>
  <si>
    <t>Cooking Slow</t>
  </si>
  <si>
    <t>Recipes for Slowing Down and Cooking More</t>
  </si>
  <si>
    <t>Advertising for People Who Don't Like Advertising</t>
  </si>
  <si>
    <t>The Clockwork Scarab</t>
  </si>
  <si>
    <t>A Stoker &amp; Holmes Novel</t>
  </si>
  <si>
    <t>The Templeton Twins Have an Idea</t>
  </si>
  <si>
    <t>Book 1</t>
  </si>
  <si>
    <t>8-12</t>
  </si>
  <si>
    <t>If I Were a Book</t>
  </si>
  <si>
    <t>A First for Everything Journal</t>
  </si>
  <si>
    <t>Straight from the Earth</t>
  </si>
  <si>
    <t>Irresistible Vegan Recipes for Everyone</t>
  </si>
  <si>
    <t>Best Lunch Box Ever</t>
  </si>
  <si>
    <t>Ideas and Recipes for School Lunches Kids Will Love</t>
  </si>
  <si>
    <t>NON000000</t>
  </si>
  <si>
    <t>All ages</t>
  </si>
  <si>
    <t>Eggs on Top</t>
  </si>
  <si>
    <t>Recipes Elevated by an Egg</t>
  </si>
  <si>
    <t>Creature Baby Animals</t>
  </si>
  <si>
    <t>Infant-2</t>
  </si>
  <si>
    <t>Creature Numbers</t>
  </si>
  <si>
    <t>2-4</t>
  </si>
  <si>
    <t>The Art of Planes</t>
  </si>
  <si>
    <t>PER004080</t>
  </si>
  <si>
    <t>Going Over</t>
  </si>
  <si>
    <t>14 and up</t>
  </si>
  <si>
    <t>Prairie Style Weddings</t>
  </si>
  <si>
    <t>Rustic and Romantic Farm, Woodland, and Garden Celebrations</t>
  </si>
  <si>
    <t>The Daily Face</t>
  </si>
  <si>
    <t>25 Makeup Looks for Day, Night, and Everything In Between!</t>
  </si>
  <si>
    <t>Tony Wheeler's Dark Lands</t>
  </si>
  <si>
    <t>Loving Yourself to Great Health</t>
  </si>
  <si>
    <t>Thoughts &amp; Food - The Ultimate Diet</t>
  </si>
  <si>
    <t>HEA010000</t>
  </si>
  <si>
    <t>The Tapping Solution for Weight Loss &amp; Body Confidence</t>
  </si>
  <si>
    <t>A Woman's Guide to Stressing Less, Weighing Less, and Loving More</t>
  </si>
  <si>
    <t>HEA019000</t>
  </si>
  <si>
    <t>Nurturing Healing Love</t>
  </si>
  <si>
    <t>A Mother's Journey of Hope &amp; Forgiveness</t>
  </si>
  <si>
    <t>I Can See Clearly Now</t>
  </si>
  <si>
    <t>12-CD Set</t>
  </si>
  <si>
    <t>Angel Detox</t>
  </si>
  <si>
    <t>Taking Your Life to a Higher Level Through Releasing Emotional, Physical, and Energetic Toxins</t>
  </si>
  <si>
    <t>Love Has Forgotten No One</t>
  </si>
  <si>
    <t>The Answer to Life</t>
  </si>
  <si>
    <t>Not My Child</t>
  </si>
  <si>
    <t>A Progressive and Proactive Approach for Healing Addicted Teenagers and Their Families</t>
  </si>
  <si>
    <t>Holy Shift!</t>
  </si>
  <si>
    <t>365 Daily Meditations from A Course in Miracles</t>
  </si>
  <si>
    <t>SEL032000</t>
  </si>
  <si>
    <t>Archetypes</t>
  </si>
  <si>
    <t>Who Are You?</t>
  </si>
  <si>
    <t>Getting in the Gap</t>
  </si>
  <si>
    <t>Making Conscious Contact with God through Meditation Book and CD</t>
  </si>
  <si>
    <t>000</t>
  </si>
  <si>
    <t>The All-Day Energy Diet</t>
  </si>
  <si>
    <t>Double Your Energy in 7 Days</t>
  </si>
  <si>
    <t>Returning to the Lakota Way</t>
  </si>
  <si>
    <t>Old Values to Save a Modern World</t>
  </si>
  <si>
    <t>SOC021000</t>
  </si>
  <si>
    <t>The Essential Doreen Virtue Collection</t>
  </si>
  <si>
    <t>The Turning Point</t>
  </si>
  <si>
    <t>Creating Resilience in a Time of Extremes</t>
  </si>
  <si>
    <t>You Are My Baby: Safari</t>
  </si>
  <si>
    <t>JUV002150</t>
  </si>
  <si>
    <t>Infant-4</t>
  </si>
  <si>
    <t>Paper Style: Hairdos</t>
  </si>
  <si>
    <t>Artists, Writers, Thinkers, Dreamers</t>
  </si>
  <si>
    <t>Portraits of Fifty Famous Folks &amp; All Their Weird Stuff</t>
  </si>
  <si>
    <t>Greens + Grains</t>
  </si>
  <si>
    <t>Recipes for Deliciously Healthful Meals</t>
  </si>
  <si>
    <t>And the Story Is Happening</t>
  </si>
  <si>
    <t>A Journal and Collage</t>
  </si>
  <si>
    <t>The Bread Exchange</t>
  </si>
  <si>
    <t>Tales and Recipes from a Journey of Baking and Bartering</t>
  </si>
  <si>
    <t>Animal Doodles for Kids</t>
  </si>
  <si>
    <t>JNF001000</t>
  </si>
  <si>
    <t>Gibbs Smith</t>
  </si>
  <si>
    <t>6 and up</t>
  </si>
  <si>
    <t>Edgar Gets Ready for Bed: A BabyLit(TM) Book</t>
  </si>
  <si>
    <t>Inspired by Edgar Allan Poe's "The Raven"</t>
  </si>
  <si>
    <t>JUV000000</t>
  </si>
  <si>
    <t>Aunty Acid With Age Comes Wisdom</t>
  </si>
  <si>
    <t>With Age Comes Wisdom</t>
  </si>
  <si>
    <t>HUM001000</t>
  </si>
  <si>
    <t>The Big Book of Superheroes</t>
  </si>
  <si>
    <t>8-up years</t>
  </si>
  <si>
    <t>Edgar and the Tattle-Tale Heart: A BabyLit(TM) Book</t>
  </si>
  <si>
    <t>Inspired by Edgar Allan Poe's "The Tell-Tale Heart"</t>
  </si>
  <si>
    <t>0-4 months</t>
  </si>
  <si>
    <t>Wiley's Championship Barbecue</t>
  </si>
  <si>
    <t>Secrets Old Men Take to the Grave</t>
  </si>
  <si>
    <t>Goodnight Mr. Darcy: A BabyLit(TM) Parody Picture Book</t>
  </si>
  <si>
    <t>4-up years</t>
  </si>
  <si>
    <t>Stickerbomb Skulls</t>
  </si>
  <si>
    <t>Skull Art Prints</t>
  </si>
  <si>
    <t>20 Removable Posters</t>
  </si>
  <si>
    <t>100 Classic Graphic Design Journals</t>
  </si>
  <si>
    <t>Furniture for Interior Design</t>
  </si>
  <si>
    <t>This is Bacon</t>
  </si>
  <si>
    <t>This is Gauguin</t>
  </si>
  <si>
    <t>Pie Pops</t>
  </si>
  <si>
    <t>So Jane</t>
  </si>
  <si>
    <t>Crafts and Recipes for an Austen-Inspired Life</t>
  </si>
  <si>
    <t>Party in a Jar</t>
  </si>
  <si>
    <t>16 Kid-Friendly Jar Projects for Parties, Holidays &amp; Special Occasions</t>
  </si>
  <si>
    <t>5-up years</t>
  </si>
  <si>
    <t>Maison Sajou Sewing Book</t>
  </si>
  <si>
    <t>20 Projects from the famous French Haberdasher</t>
  </si>
  <si>
    <t>Stories in Stone Paris</t>
  </si>
  <si>
    <t>A Field Guide to Paris Cemeteries &amp; Their Residents</t>
  </si>
  <si>
    <t>Classic Poetry for Dogs</t>
  </si>
  <si>
    <t>Why Do I Chase Thee</t>
  </si>
  <si>
    <t>Tao of Survival</t>
  </si>
  <si>
    <t>Skills to Keep You Alive</t>
  </si>
  <si>
    <t>Happy Hormones, Slim Belly</t>
  </si>
  <si>
    <t>Over 40? Lose 7 lbs. the First Week, and Then 2 lbs. Weekly - Guaranteed</t>
  </si>
  <si>
    <t>HEA048000</t>
  </si>
  <si>
    <t>15S</t>
  </si>
  <si>
    <t>Assertiveness for Earth Angels</t>
  </si>
  <si>
    <t>How to Be Loving Instead of "Too Nice"</t>
  </si>
  <si>
    <t>Daily Love</t>
  </si>
  <si>
    <t>Growing into Grace</t>
  </si>
  <si>
    <t>Pantone Chips Journal: Earth Tones</t>
  </si>
  <si>
    <t>The Thing The Book</t>
  </si>
  <si>
    <t>A Monument to the Book as Object</t>
  </si>
  <si>
    <t>The Art of Frozen</t>
  </si>
  <si>
    <t>Conversation Sparks</t>
  </si>
  <si>
    <t>Trivia Worth Talking About</t>
  </si>
  <si>
    <t>Kitchen Creamery</t>
  </si>
  <si>
    <t>Making Yogurt, Butter &amp; Cheese at Home</t>
  </si>
  <si>
    <t>My Little French Kitchen</t>
  </si>
  <si>
    <t>Over 100 Recipes from the Mountains, Market Squares, and Shores of France</t>
  </si>
  <si>
    <t>Your Year for Change</t>
  </si>
  <si>
    <t>52 Reflections for Regret-Free Living</t>
  </si>
  <si>
    <t>How to Heal a Grieving Heart</t>
  </si>
  <si>
    <t>This Is the Moment!</t>
  </si>
  <si>
    <t>How One Man's Yearlong Journey Captured the Power of Extraordinary Gratitude</t>
  </si>
  <si>
    <t>The Secret Female Hormone</t>
  </si>
  <si>
    <t>How Testosterone Replacement Can Change Your Life</t>
  </si>
  <si>
    <t>Wishes Fulfilled</t>
  </si>
  <si>
    <t>15W</t>
  </si>
  <si>
    <t>Living Bliss</t>
  </si>
  <si>
    <t>Major Discoveries Along the Holistic Path</t>
  </si>
  <si>
    <t>A Mother's Journey of Hope and Forgiveness</t>
  </si>
  <si>
    <t>If You Can See It, You Can Be It</t>
  </si>
  <si>
    <t>12 Street-Smart Recipes for Success</t>
  </si>
  <si>
    <t>SEL027000</t>
  </si>
  <si>
    <t>Secrets from Chuckling Goat</t>
  </si>
  <si>
    <t>How a Herd of Goats Saved my Family and Started a Business that Became a Natural Health Phenomenon</t>
  </si>
  <si>
    <t>Manifest Moment to Moment</t>
  </si>
  <si>
    <t>8 Principles to Create the Life You Truly Desire</t>
  </si>
  <si>
    <t>Conversations with History</t>
  </si>
  <si>
    <t>Inspiration, Reflections, and Advice from History-Makers and Celebrities on the Other Side</t>
  </si>
  <si>
    <t>OCC003000</t>
  </si>
  <si>
    <t>Light Bulb Moments</t>
  </si>
  <si>
    <t>75 Lessons for Everyday Living</t>
  </si>
  <si>
    <t>The Hunter/Farmer Diet Solution</t>
  </si>
  <si>
    <t>Do You Have the Metabolism of a Hunter or a Farmer? Find Out . . . and Achieve Your Health and Weight-Loss Goals!</t>
  </si>
  <si>
    <t>Home in Harmony</t>
  </si>
  <si>
    <t>Designing an Inspired Life</t>
  </si>
  <si>
    <t>SEL016000</t>
  </si>
  <si>
    <t>TAKE 2</t>
  </si>
  <si>
    <t>Take 2</t>
  </si>
  <si>
    <t>Your Guide to Creating Happy Endings and New Beginnings</t>
  </si>
  <si>
    <t>Don't Die with Your Music Still in You</t>
  </si>
  <si>
    <t>My Experience Growing Up with Spiritual Parents</t>
  </si>
  <si>
    <t>Love</t>
  </si>
  <si>
    <t>The Saint and the Seeker</t>
  </si>
  <si>
    <t>Mind Programming</t>
  </si>
  <si>
    <t>From Persuasion and Brainwashing, to Self-Help and Practical Metaphysics</t>
  </si>
  <si>
    <t>The Top Ten Things Dead People Want to Tell YOU</t>
  </si>
  <si>
    <t>BELLY FAT CURE(TM) FAST TRACK</t>
  </si>
  <si>
    <t>The Belly Fat Cure(TM) Fast Track</t>
  </si>
  <si>
    <t>Discover the Ultimate Carb Swap(TM) and Drop Up to 14 lbs. the First 14 Days</t>
  </si>
  <si>
    <t>The Way of the Hammock</t>
  </si>
  <si>
    <t>Designing Calm for a Busy Life</t>
  </si>
  <si>
    <t>Shift Happens!</t>
  </si>
  <si>
    <t>Live an Inspired Life with Dr. Robert Holden</t>
  </si>
  <si>
    <t>15F</t>
  </si>
  <si>
    <t>The Tapping Solution for Pain Relief</t>
  </si>
  <si>
    <t>A Step-by-Step Guide to Reducing and Eliminating Chronic Pain</t>
  </si>
  <si>
    <t>HEA036000</t>
  </si>
  <si>
    <t>STUBBORN FAT GONE!(TM)</t>
  </si>
  <si>
    <t>Stubborn Fat Gone!(TM)</t>
  </si>
  <si>
    <t>Discover Think Fit(TM) to Turn Off Stress and Lose 1.5 lbs. Every Day</t>
  </si>
  <si>
    <t>52 Relaxing Rituals</t>
  </si>
  <si>
    <t>96F</t>
  </si>
  <si>
    <t>Lollipop Love</t>
  </si>
  <si>
    <t>Sweet Indulgence with Chocolate, Caramel, and Sugar</t>
  </si>
  <si>
    <t>7 Minutes to Fit</t>
  </si>
  <si>
    <t>50 Anytime, Anywhere Interval Workouts</t>
  </si>
  <si>
    <t>Fun With Washi!</t>
  </si>
  <si>
    <t>35 Ways to Instantly Refresh Your Home, Accessories, and Packages with Washi Tape</t>
  </si>
  <si>
    <t>Cake &amp; Ice Cream</t>
  </si>
  <si>
    <t>Recipes for Good Times</t>
  </si>
  <si>
    <t>Food Listography</t>
  </si>
  <si>
    <t>My Delicious Life in Lists</t>
  </si>
  <si>
    <t>I Love You Around the World</t>
  </si>
  <si>
    <t>City Scratch-off Map: Paris</t>
  </si>
  <si>
    <t>A Sight-Seeing Scavenger Hunt</t>
  </si>
  <si>
    <t>City Scratch-off Map: New York</t>
  </si>
  <si>
    <t>Creature Sounds</t>
  </si>
  <si>
    <t>JNF013100</t>
  </si>
  <si>
    <t>In This Book</t>
  </si>
  <si>
    <t>3-5</t>
  </si>
  <si>
    <t>Upside Down in the Middle of Nowhere</t>
  </si>
  <si>
    <t>10 and up</t>
  </si>
  <si>
    <t>Bonjour Camille</t>
  </si>
  <si>
    <t>The Land of Lines</t>
  </si>
  <si>
    <t>Lately Lily Book of Fun</t>
  </si>
  <si>
    <t>Doodle &amp; Discover Your World!</t>
  </si>
  <si>
    <t>5 and up</t>
  </si>
  <si>
    <t>Farewell Floppy</t>
  </si>
  <si>
    <t>Happiness Is . . . One Happy Thing Every Day</t>
  </si>
  <si>
    <t>A Three-Year Journal</t>
  </si>
  <si>
    <t>16S</t>
  </si>
  <si>
    <t>Earth and Space</t>
  </si>
  <si>
    <t>Photographs from the Archives of NASA</t>
  </si>
  <si>
    <t>PHO026000</t>
  </si>
  <si>
    <t>Icebox Cakes</t>
  </si>
  <si>
    <t>Recipes for the Coolest Cakes in Town</t>
  </si>
  <si>
    <t>Amy Butler Decoupage</t>
  </si>
  <si>
    <t>Fresh, Decorative Projects for the Home</t>
  </si>
  <si>
    <t>Fortune Favors the Brave</t>
  </si>
  <si>
    <t>100 Courageous Quotations</t>
  </si>
  <si>
    <t>The Circadian Tarot</t>
  </si>
  <si>
    <t>A Daily Companion for Divination and Illumination</t>
  </si>
  <si>
    <t>Here Kitty Kitty</t>
  </si>
  <si>
    <t>Ingrid Bergman: A Life in Pictures</t>
  </si>
  <si>
    <t>The Art of Inside Out</t>
  </si>
  <si>
    <t>The World of Vikings</t>
  </si>
  <si>
    <t>Waste-Free Kitchen Handbook</t>
  </si>
  <si>
    <t>A Guide to Eating Well and Saving Money By Wasting Less Food</t>
  </si>
  <si>
    <t>CKB071000</t>
  </si>
  <si>
    <t>Why Boys Need Parents</t>
  </si>
  <si>
    <t>Rachel Khoo's Kitchen Notebook</t>
  </si>
  <si>
    <t>Over 100 Delicious Recipes from My Personal Cookbook</t>
  </si>
  <si>
    <t>Mon Cher Eclair</t>
  </si>
  <si>
    <t>And Other Beautiful Pastries, including Cream Puffs, Profiteroles, and Gougeres</t>
  </si>
  <si>
    <t>Ninja Baby</t>
  </si>
  <si>
    <t>The Bear's Surprise</t>
  </si>
  <si>
    <t>Cozy Classics: War &amp; Peace</t>
  </si>
  <si>
    <t>Land Shark</t>
  </si>
  <si>
    <t>Cozy Classics: Great Expectations</t>
  </si>
  <si>
    <t>Fish Finelli (Book 3)</t>
  </si>
  <si>
    <t>Ghosts Don't Wear Glasses</t>
  </si>
  <si>
    <t>7-9</t>
  </si>
  <si>
    <t>Calm</t>
  </si>
  <si>
    <t>Canada Doodles</t>
  </si>
  <si>
    <t>1st Edition</t>
  </si>
  <si>
    <t>Make My Day Paris</t>
  </si>
  <si>
    <t>Everything You Ever Wanted to Know</t>
  </si>
  <si>
    <t>Make My Day Tokyo</t>
  </si>
  <si>
    <t>Make My Day Rome</t>
  </si>
  <si>
    <t>Not For Parents Europe</t>
  </si>
  <si>
    <t>Instant Expert</t>
  </si>
  <si>
    <t>A Visual Guide to the Skills You've Always Wanted</t>
  </si>
  <si>
    <t>The Food Book Mini</t>
  </si>
  <si>
    <t>You Only Live Once</t>
  </si>
  <si>
    <t>A Lifetime of Experiences for the Explorer in all of us</t>
  </si>
  <si>
    <t>You Rule!</t>
  </si>
  <si>
    <t>A Practical Guide to Creating Your Own Kingdom</t>
  </si>
  <si>
    <t>Make My Day Berlin</t>
  </si>
  <si>
    <t>Not For Parents South America</t>
  </si>
  <si>
    <t>Make My Day Sydney</t>
  </si>
  <si>
    <t>Make My Day Barcelona</t>
  </si>
  <si>
    <t>Not For Parents Asia</t>
  </si>
  <si>
    <t>A Fork In The Road</t>
  </si>
  <si>
    <t>Tales of Food, Pleasure and Discovery On The Road</t>
  </si>
  <si>
    <t>Make My Day San Francisco</t>
  </si>
  <si>
    <t>Lonely Planet's Best Ever Video Tips</t>
  </si>
  <si>
    <t>Ultimate Signspotting</t>
  </si>
  <si>
    <t>Absurd &amp; Amusing Signs from Around the World</t>
  </si>
  <si>
    <t>Travel Journal</t>
  </si>
  <si>
    <t>Lonely Planet's Wild World</t>
  </si>
  <si>
    <t>Kitchen Sticky Notes + To-Do Lists</t>
  </si>
  <si>
    <t>250 Notes to Keep You Organized</t>
  </si>
  <si>
    <t>CKB000000</t>
  </si>
  <si>
    <t>Extraordinary People</t>
  </si>
  <si>
    <t>A Semi-Comprehensive Guide to Some of the World's Most Fascinating Individuals</t>
  </si>
  <si>
    <t>BIO013000</t>
  </si>
  <si>
    <t>Color this Book: San Francisco</t>
  </si>
  <si>
    <t>GAM019000</t>
  </si>
  <si>
    <t>Bright Spots Journal</t>
  </si>
  <si>
    <t>Every Person in New York</t>
  </si>
  <si>
    <t>Be Mine</t>
  </si>
  <si>
    <t>25 Paper Projects to Share the Love</t>
  </si>
  <si>
    <t>Eye Style</t>
  </si>
  <si>
    <t>Punch out and wear 15 paper eyeglasses!</t>
  </si>
  <si>
    <t>Dips &amp; Spreads</t>
  </si>
  <si>
    <t>46 Gorgeous and Good-for-You Recipes</t>
  </si>
  <si>
    <t>You Kiss by th' Book</t>
  </si>
  <si>
    <t>New Poems from Shakespeare's Line</t>
  </si>
  <si>
    <t>Londontown</t>
  </si>
  <si>
    <t>A Photographic Tour of the City's Delights</t>
  </si>
  <si>
    <t>Taxi Driver Wisdom: 20th Anniversary Edition</t>
  </si>
  <si>
    <t>16F</t>
  </si>
  <si>
    <t>Sage Living</t>
  </si>
  <si>
    <t>Decorate for the Life You Want</t>
  </si>
  <si>
    <t>Sweet and Tart</t>
  </si>
  <si>
    <t>70 Irresistible Recipes with Citrus</t>
  </si>
  <si>
    <t>The Little Pleasures of Paris</t>
  </si>
  <si>
    <t>How to Be a Cat</t>
  </si>
  <si>
    <t>Library of Luminaries: Jane Austen</t>
  </si>
  <si>
    <t>An Illustrated Biography</t>
  </si>
  <si>
    <t>For Love</t>
  </si>
  <si>
    <t>25 Heartwarming Celebrations of Humanity</t>
  </si>
  <si>
    <t>Just a Minute</t>
  </si>
  <si>
    <t>A Trickster Tale and Counting Book</t>
  </si>
  <si>
    <t>5-8</t>
  </si>
  <si>
    <t>A Strange Place to Call Home</t>
  </si>
  <si>
    <t>The World's Most Dangerous Habitats &amp; the Animals That Call Them Home</t>
  </si>
  <si>
    <t>Roy's House</t>
  </si>
  <si>
    <t>Big Bear Little Chair</t>
  </si>
  <si>
    <t>Cozy Classics: Moby Dick</t>
  </si>
  <si>
    <t>This Is the Story of You</t>
  </si>
  <si>
    <t>Gena/Finn</t>
  </si>
  <si>
    <t>Fantastical Fairies Matching Game</t>
  </si>
  <si>
    <t>3 and up</t>
  </si>
  <si>
    <t>Once Was a Time</t>
  </si>
  <si>
    <t>10 years and up</t>
  </si>
  <si>
    <t>Cozy Classics: The Nutcracker</t>
  </si>
  <si>
    <t>Monster &amp; Son</t>
  </si>
  <si>
    <t>Print, Make, Wear</t>
  </si>
  <si>
    <t>Creative Projects for Digital Textile Design</t>
  </si>
  <si>
    <t>Knit</t>
  </si>
  <si>
    <t>Innovations in Fashion, Art, Design</t>
  </si>
  <si>
    <t>Inferno</t>
  </si>
  <si>
    <t>Alexander McQueen</t>
  </si>
  <si>
    <t>3D Bubble Writer</t>
  </si>
  <si>
    <t>A Crazy Craft Book</t>
  </si>
  <si>
    <t>8-11</t>
  </si>
  <si>
    <t>Sew Fab</t>
  </si>
  <si>
    <t>Sewing and Style for Young Fashionistas</t>
  </si>
  <si>
    <t>8-13</t>
  </si>
  <si>
    <t>100 Ideas that Changed the Web</t>
  </si>
  <si>
    <t>The Sewists</t>
  </si>
  <si>
    <t>DIY Projects from 20 Top Designer-Makers</t>
  </si>
  <si>
    <t>The Internet to the Inner-Net</t>
  </si>
  <si>
    <t>Five Ways to Reset Your Connection and Live a Conscious Life</t>
  </si>
  <si>
    <t>The Power of Self-Healing</t>
  </si>
  <si>
    <t>Unlock Your Natural Healing Potential in 21 Days</t>
  </si>
  <si>
    <t>More Than You See</t>
  </si>
  <si>
    <t>Australia 2013</t>
  </si>
  <si>
    <t>I Believe</t>
  </si>
  <si>
    <t>When What You Believe Matters!</t>
  </si>
  <si>
    <t>Beyond Happiness</t>
  </si>
  <si>
    <t>Finding and Fulfilling Your Deepest Desire</t>
  </si>
  <si>
    <t>OCC019000</t>
  </si>
  <si>
    <t>I Can Make You Happy</t>
  </si>
  <si>
    <t>The Real Food Revolution</t>
  </si>
  <si>
    <t>Healthy Eating, Green Groceries, and the Return of the American Family Farm</t>
  </si>
  <si>
    <t>HEA017000</t>
  </si>
  <si>
    <t>The Abundance Loop</t>
  </si>
  <si>
    <t>8 Steps to Manifest Conscious Wealth</t>
  </si>
  <si>
    <t>BUS050000</t>
  </si>
  <si>
    <t>HAPPY BIRTHDAY, CHRIS P. BACON</t>
  </si>
  <si>
    <t>Happy Birthday, Chris P. Bacon</t>
  </si>
  <si>
    <t>Gorgeous for Good</t>
  </si>
  <si>
    <t>A Simple 30-Day Program for Lasting  Beauty - Inside and Out</t>
  </si>
  <si>
    <t>HEA003000</t>
  </si>
  <si>
    <t>Play Life More Beautifully</t>
  </si>
  <si>
    <t>Conversations with Seymour</t>
  </si>
  <si>
    <t>16W</t>
  </si>
  <si>
    <t>Beyond Past Lives</t>
  </si>
  <si>
    <t>What Parallel Realities Can Teach Us about Relationships, Healing, and Transformation</t>
  </si>
  <si>
    <t>The Remembering Process</t>
  </si>
  <si>
    <t>A Surprising (and Fun) Breakthrough New Way to Amazing Creativity</t>
  </si>
  <si>
    <t>Discover which foods will melt up to 9 lbs. this week</t>
  </si>
  <si>
    <t>The Divine Name</t>
  </si>
  <si>
    <t>The Sound That Can Change the World</t>
  </si>
  <si>
    <t>BELLY FAT CURE(TM) QUICK MEALS</t>
  </si>
  <si>
    <t>The Belly Fat Cure(TM) Quick Meals</t>
  </si>
  <si>
    <t>Lose 4 to 9 lbs. a week with on-the-go Carb Swaps(TM)</t>
  </si>
  <si>
    <t>Conscious Loving Ever After</t>
  </si>
  <si>
    <t>How to Create Thriving Relationships at Midlife and Beyond</t>
  </si>
  <si>
    <t>Heal Your Mind</t>
  </si>
  <si>
    <t>Your Prescription for Wholeness through Medicine, Affirmations, and Intuition</t>
  </si>
  <si>
    <t>OCC011000</t>
  </si>
  <si>
    <t>Love Your Enemies</t>
  </si>
  <si>
    <t>How to Break the Anger Habit &amp; Be a Whole Lot Happier</t>
  </si>
  <si>
    <t>The PlantPlus Diet Solution</t>
  </si>
  <si>
    <t>Personalized Nutrition for Life</t>
  </si>
  <si>
    <t>Timewatch</t>
  </si>
  <si>
    <t>Conscious Writing</t>
  </si>
  <si>
    <t>Discover Your True Voice Through Mindfulness and More</t>
  </si>
  <si>
    <t>LAN005000</t>
  </si>
  <si>
    <t>TalkRx</t>
  </si>
  <si>
    <t>Five Steps to Honest Conversations That Create Connection, Health, and Happiness</t>
  </si>
  <si>
    <t>50 for Your Future</t>
  </si>
  <si>
    <t>Lessons from Down the Road</t>
  </si>
  <si>
    <t>One-Minute Mindfulness</t>
  </si>
  <si>
    <t>How to Live in the Moment</t>
  </si>
  <si>
    <t>10 Reasons You Feel Old and Get Fat...</t>
  </si>
  <si>
    <t>And How YOU Can Stay Young, Slim, and Happy!</t>
  </si>
  <si>
    <t>From Junk Food to Joy Food</t>
  </si>
  <si>
    <t>All the Foods You Love to Eat... Only Better</t>
  </si>
  <si>
    <t>CKB026000</t>
  </si>
  <si>
    <t>For the Sender</t>
  </si>
  <si>
    <t>Love Letters from Vietnam</t>
  </si>
  <si>
    <t>AFFORMATIONS(TM)</t>
  </si>
  <si>
    <t>Afformations(TM)</t>
  </si>
  <si>
    <t>The Miracle of Positive Self-Talk</t>
  </si>
  <si>
    <t>SEL004000</t>
  </si>
  <si>
    <t>Empower Yourself</t>
  </si>
  <si>
    <t>Heal Your Child from the Inside Out</t>
  </si>
  <si>
    <t>The 5-Element Way to Nurturing Healthy, Happy Kids</t>
  </si>
  <si>
    <t>HEA046000</t>
  </si>
  <si>
    <t>Wild Awakening</t>
  </si>
  <si>
    <t>9 Questions That Saved My Life</t>
  </si>
  <si>
    <t>Living Pain-Free</t>
  </si>
  <si>
    <t>Natural and Spiritual Solutions to Eliminate Physical Pain</t>
  </si>
  <si>
    <t>How to Be Well</t>
  </si>
  <si>
    <t>Use Your Own Natural Resources to Get Well and Stay Well for Life</t>
  </si>
  <si>
    <t>Love Is a Secret</t>
  </si>
  <si>
    <t>The Mystic Quest for Divine Love</t>
  </si>
  <si>
    <t>2nd</t>
  </si>
  <si>
    <t>REL047000</t>
  </si>
  <si>
    <t>#HigherSelfie</t>
  </si>
  <si>
    <t>Wake Up Your Life. Free Your Soul. Find Your Tribe.</t>
  </si>
  <si>
    <t>Out of the Blue</t>
  </si>
  <si>
    <t>True-Life Experiences of Awakening, Revelation, and Transformation</t>
  </si>
  <si>
    <t>Uplifting Prayers to Light Your Way</t>
  </si>
  <si>
    <t>200 Invocations for Challenging Times</t>
  </si>
  <si>
    <t>OCC011020</t>
  </si>
  <si>
    <t>Falling Up</t>
  </si>
  <si>
    <t>My Wild Ride from Victim to Kick-Ass Victory</t>
  </si>
  <si>
    <t>Make Your Own Rules Diet</t>
  </si>
  <si>
    <t>HEA039000</t>
  </si>
  <si>
    <t>The Pain Cure Rx</t>
  </si>
  <si>
    <t>The Yass Method for Diagnosing and Resolving Chronic Pain</t>
  </si>
  <si>
    <t>HEA000000</t>
  </si>
  <si>
    <t>Co-creating at Its Best</t>
  </si>
  <si>
    <t>A Conversation Between Master Teachers</t>
  </si>
  <si>
    <t>OCC000000</t>
  </si>
  <si>
    <t>The Uncook Book</t>
  </si>
  <si>
    <t>The Essential Guide to a Raw Food Lifestyle</t>
  </si>
  <si>
    <t>CKB110000</t>
  </si>
  <si>
    <t>My Wild Ride from Victim to Kick-Ass Victor</t>
  </si>
  <si>
    <t>Eat Real Food</t>
  </si>
  <si>
    <t>Simple Rules for Health, Happiness, and Unstoppable Energy</t>
  </si>
  <si>
    <t>The Allergy Solution</t>
  </si>
  <si>
    <t>Unlock the Surprising, Hidden Truth about Why You Are Sick and How to Get Well</t>
  </si>
  <si>
    <t>HEA027000</t>
  </si>
  <si>
    <t>Make Your Own Rules Cookbook</t>
  </si>
  <si>
    <t>More Than 100 Simple, Healthy Recipes Inspired by Family and Friends Around the World</t>
  </si>
  <si>
    <t>The Truth of Spirits</t>
  </si>
  <si>
    <t>A Medium's Journey from Panic to Peace</t>
  </si>
  <si>
    <t>Memories of Heaven</t>
  </si>
  <si>
    <t>Children's Astounding Recollections of the Time Before They Came to Earth</t>
  </si>
  <si>
    <t>Modern Mix</t>
  </si>
  <si>
    <t>Curating Personal Style with Chic &amp; Accessible Finds</t>
  </si>
  <si>
    <t>Camping in the Old Style</t>
  </si>
  <si>
    <t>Updated Edition</t>
  </si>
  <si>
    <t>Edgar and the Tree House of Usher</t>
  </si>
  <si>
    <t>Inspired by Edgar Allan Poe's "The Fall of the House of Usher"</t>
  </si>
  <si>
    <t>0-4 years</t>
  </si>
  <si>
    <t>101 Things to Do with Pumpkin</t>
  </si>
  <si>
    <t>Pocketdoodles for Christmas</t>
  </si>
  <si>
    <t>10-12 years</t>
  </si>
  <si>
    <t>Aunty Acid's Office Manual</t>
  </si>
  <si>
    <t>Aunty Acid</t>
  </si>
  <si>
    <t>642 Things to Draw Colored Pencils</t>
  </si>
  <si>
    <t>MoMA Color Coloring Book</t>
  </si>
  <si>
    <t>A MoMA Coloring Book</t>
  </si>
  <si>
    <t>Sock Monkeys Have Issues</t>
  </si>
  <si>
    <t>Behind the Bar: 2 Tea Towels</t>
  </si>
  <si>
    <t>2 Tea Towels, 2 Classic Designs</t>
  </si>
  <si>
    <t>CKB088000</t>
  </si>
  <si>
    <t>Coatsters: 15 All-Weather Coasters</t>
  </si>
  <si>
    <t>The Art of Finding Dory</t>
  </si>
  <si>
    <t>642 Things to Draw: 30 Postcards</t>
  </si>
  <si>
    <t>Feathers</t>
  </si>
  <si>
    <t>Displays of Brilliant Plumage</t>
  </si>
  <si>
    <t>Curls, Curls, Curls</t>
  </si>
  <si>
    <t>Your Go-To Guide for Rocking Curly Hair - Plus Tutorials for 60 Fabulous Looks</t>
  </si>
  <si>
    <t>I Like You, I Love You</t>
  </si>
  <si>
    <t>Rescued Paper Notepad</t>
  </si>
  <si>
    <t>Gratitatts</t>
  </si>
  <si>
    <t>Inspirational Tattoos</t>
  </si>
  <si>
    <t>Indie Rock Coloring Book</t>
  </si>
  <si>
    <t>Graffiti Art Coloring Book</t>
  </si>
  <si>
    <t>Rice Craft</t>
  </si>
  <si>
    <t>Yummy! Healthy! Fun to Make!</t>
  </si>
  <si>
    <t>Journey in Color: Moroccan Motifs Coloring Book</t>
  </si>
  <si>
    <t>Designing with Pixar</t>
  </si>
  <si>
    <t>45 Activities to Create Your Own Characters, Worlds, and Stories</t>
  </si>
  <si>
    <t>6-9</t>
  </si>
  <si>
    <t>Legends of Texas Barbecue Cookbook</t>
  </si>
  <si>
    <t>Recipes and Recollections from the Pitmasters, Revised &amp; Updated with 32 New Recipes!</t>
  </si>
  <si>
    <t>Rescued Paper Writing Sheets</t>
  </si>
  <si>
    <t>Low-So Good</t>
  </si>
  <si>
    <t>A Guide to Real Food, Big Flavor, and Less Sodium with 70 Amazing Recipes</t>
  </si>
  <si>
    <t>Garden Gnomes Have Issues</t>
  </si>
  <si>
    <t>One Thing Stolen</t>
  </si>
  <si>
    <t>Advice from My 80-Year-Old Self</t>
  </si>
  <si>
    <t>Real Words of Wisdom from People Ages 7 to 88</t>
  </si>
  <si>
    <t>Secrets in the Snow</t>
  </si>
  <si>
    <t>A Novel of Intrigue and Romance</t>
  </si>
  <si>
    <t>Frozen Icicle Pops and Cool Creations</t>
  </si>
  <si>
    <t>Ghost Wave</t>
  </si>
  <si>
    <t>The True Story of the Biggest Wave on Earth and the Men Who Challenged It</t>
  </si>
  <si>
    <t>Amy Butler's Piece Keeping</t>
  </si>
  <si>
    <t>20 Stylish Projects that Celebrate Patchwork</t>
  </si>
  <si>
    <t>This Annoying Life</t>
  </si>
  <si>
    <t>A Mindless Coloring Book for the Highly Stressed</t>
  </si>
  <si>
    <t>Traditional Interiors</t>
  </si>
  <si>
    <t>Leta Austin Foster, Sallie Giordano &amp; India Foster</t>
  </si>
  <si>
    <t>Cowboy Doodles</t>
  </si>
  <si>
    <t>Rustic Wedding Chic</t>
  </si>
  <si>
    <t>Sliding in the Snow</t>
  </si>
  <si>
    <t>Winter Activities for Kids</t>
  </si>
  <si>
    <t>6-up years</t>
  </si>
  <si>
    <t>Pierogi Love</t>
  </si>
  <si>
    <t>New Takes On An Old-World Comfort Food</t>
  </si>
  <si>
    <t>How D'ya Like Them Apples</t>
  </si>
  <si>
    <t>Shannon Bennett's London</t>
  </si>
  <si>
    <t>A Personal Guide to the City's Best</t>
  </si>
  <si>
    <t>You Mean the World to Me</t>
  </si>
  <si>
    <t>Deep South</t>
  </si>
  <si>
    <t>New Southern Cooking</t>
  </si>
  <si>
    <t>Braid it!</t>
  </si>
  <si>
    <t>30+ Cool Hair-Braid Tutorials</t>
  </si>
  <si>
    <t>Lost in London</t>
  </si>
  <si>
    <t>Color Your Way Around the City</t>
  </si>
  <si>
    <t>#howtwolive</t>
  </si>
  <si>
    <t>36 Seriously Cool How-To Projects on Style, Nail Art, Blogging and More</t>
  </si>
  <si>
    <t>The Breast Cancer Cookbook</t>
  </si>
  <si>
    <t>Over 100 Easy Recipes to Nourish and Boost Health During and After Treatment</t>
  </si>
  <si>
    <t>Eat this, My Friend</t>
  </si>
  <si>
    <t>Everyday Vegetarian Recipes for Sharing</t>
  </si>
  <si>
    <t>17S</t>
  </si>
  <si>
    <t>The BBQ Companion</t>
  </si>
  <si>
    <t>180+ Barbeque Recipes from Around the World</t>
  </si>
  <si>
    <t>The Italian Baker</t>
  </si>
  <si>
    <t>100 International Baking Recipes with a Modern Twist</t>
  </si>
  <si>
    <t>Pana Chocolate, The Recipes</t>
  </si>
  <si>
    <t>Raw. Organic. Handmade. Vegan.</t>
  </si>
  <si>
    <t>Spring</t>
  </si>
  <si>
    <t>Retro Sweaters</t>
  </si>
  <si>
    <t>Walk Tall</t>
  </si>
  <si>
    <t>100 Ways to Live Life to the Fullest</t>
  </si>
  <si>
    <t>Friends Food Family</t>
  </si>
  <si>
    <t>Essential Recipes, Tips and Secrets for the Modern Hostess, from Liberty London Girl</t>
  </si>
  <si>
    <t>Birds of Paradise</t>
  </si>
  <si>
    <t>A Therapeutic Coloring Book for Adults</t>
  </si>
  <si>
    <t>The Cath Kidston Floral Coloring Book</t>
  </si>
  <si>
    <t>Brain-Science</t>
  </si>
  <si>
    <t>Coloring for Agility and Fast Learning</t>
  </si>
  <si>
    <t>Spoon</t>
  </si>
  <si>
    <t>Simple and Nourishing Breakfast Bowls that Can Be Enjoyed Any Time of Day</t>
  </si>
  <si>
    <t>0-3 years</t>
  </si>
  <si>
    <t>Magical Dawn 20 Postcards</t>
  </si>
  <si>
    <t>Published in Sweden as "Magisk Gryning"</t>
  </si>
  <si>
    <t>Seashore Stroll</t>
  </si>
  <si>
    <t>A Whispering Words Book</t>
  </si>
  <si>
    <t>The Story Garden</t>
  </si>
  <si>
    <t>Cultivating Plants to Nurture Memories</t>
  </si>
  <si>
    <t>When I Grow Up . . .</t>
  </si>
  <si>
    <t>3-8 years</t>
  </si>
  <si>
    <t>Good Dog</t>
  </si>
  <si>
    <t>A Dog Breed Primer</t>
  </si>
  <si>
    <t>Not What It Seems</t>
  </si>
  <si>
    <t>Here, Kitty, Kitty!</t>
  </si>
  <si>
    <t>A Cat Breed Primer</t>
  </si>
  <si>
    <t>Woodland Walk</t>
  </si>
  <si>
    <t>Nighttime Slumber</t>
  </si>
  <si>
    <t>Summer Nights Artist's Edition</t>
  </si>
  <si>
    <t>Published in Sweden as "Sommarnatt"</t>
  </si>
  <si>
    <t>Magical Dawn Artist's Edition</t>
  </si>
  <si>
    <t>Twilight Garden Artist's Edition</t>
  </si>
  <si>
    <t>Published in Sweden as "Blomstermandala"</t>
  </si>
  <si>
    <t>Savage Salads</t>
  </si>
  <si>
    <t>Fierce Flavors, Filling Power-ups</t>
  </si>
  <si>
    <t>Cath Kidston Teatime</t>
  </si>
  <si>
    <t>50 Cakes and Bakes for Every Occasion</t>
  </si>
  <si>
    <t>Magic Cakes</t>
  </si>
  <si>
    <t>Three cakes in one: one mixture, one bake, three delicious layers</t>
  </si>
  <si>
    <t>Street Art: International</t>
  </si>
  <si>
    <t>Create &amp; Decorate</t>
  </si>
  <si>
    <t>120 DIY Projects for Entertaining, Parties, and Everyday Living</t>
  </si>
  <si>
    <t>Care Packages</t>
  </si>
  <si>
    <t>Celebrating the Art and Craft of Thoughtfully Made Packages</t>
  </si>
  <si>
    <t>Men in this Town</t>
  </si>
  <si>
    <t>Alone in a Crowd</t>
  </si>
  <si>
    <t>Vegetables</t>
  </si>
  <si>
    <t>K is for Korean</t>
  </si>
  <si>
    <t>My Name is Girl</t>
  </si>
  <si>
    <t>An Illustrated Guide to the Female Mind</t>
  </si>
  <si>
    <t>Unruly Curls</t>
  </si>
  <si>
    <t>How to Manage, Style and Love your Curly Hair</t>
  </si>
  <si>
    <t>Dress You Up</t>
  </si>
  <si>
    <t>30 Simple Accessories to Make and Wear</t>
  </si>
  <si>
    <t>Poke</t>
  </si>
  <si>
    <t>Hawaiian-Inspired Sushi Bowls</t>
  </si>
  <si>
    <t>S is for Sri Lankan</t>
  </si>
  <si>
    <t>Guilt-Free Nice Cream</t>
  </si>
  <si>
    <t>Over 70 Amazing Dairy-Free Ice Creams</t>
  </si>
  <si>
    <t>Supper Love</t>
  </si>
  <si>
    <t>Comfort Bowls for Quick and Nourishing Suppers</t>
  </si>
  <si>
    <t>17F</t>
  </si>
  <si>
    <t>Eat More Greens</t>
  </si>
  <si>
    <t>The Most Inventive Recipes to Help You Eat More Greens</t>
  </si>
  <si>
    <t>Love Your Lunches</t>
  </si>
  <si>
    <t>Vibrant &amp; Healthy Recipes to Brighten Up Your Day</t>
  </si>
  <si>
    <t>Modern Meditation</t>
  </si>
  <si>
    <t>Coloring For Focus and Creativity</t>
  </si>
  <si>
    <t>Harvest</t>
  </si>
  <si>
    <t>180 Recipes Through the Seasons</t>
  </si>
  <si>
    <t>Grill Smoke BBQ</t>
  </si>
  <si>
    <t>Everyday Delicious</t>
  </si>
  <si>
    <t>Super Tasty Breakfasts, Brunches, Mains, Desserts, and Snacks</t>
  </si>
  <si>
    <t>Lips</t>
  </si>
  <si>
    <t>How to Wear Lipstick, Lip Gloss and Lift Your Lip Game</t>
  </si>
  <si>
    <t>It was so quiet I could hear a pin drop</t>
  </si>
  <si>
    <t>3-6</t>
  </si>
  <si>
    <t>Draw Like an Artist</t>
  </si>
  <si>
    <t>A Self-Portrait Sketchbook</t>
  </si>
  <si>
    <t>10-14</t>
  </si>
  <si>
    <t>The Business of Creativity</t>
  </si>
  <si>
    <t>How to Build the Right Team for Success</t>
  </si>
  <si>
    <t>The Blind Photographer</t>
  </si>
  <si>
    <t xml:space="preserve"> 150 extraordinary photographs from around the world</t>
  </si>
  <si>
    <t>GoatMan</t>
  </si>
  <si>
    <t>How I Took a Holiday from Being Human</t>
  </si>
  <si>
    <t>Paris Changing</t>
  </si>
  <si>
    <t>Revisiting Eugene Atget's Paris</t>
  </si>
  <si>
    <t>Listen! Listen!</t>
  </si>
  <si>
    <t>The Electric Pencil</t>
  </si>
  <si>
    <t>Drawings from Inside State Hospital No. 3</t>
  </si>
  <si>
    <t>You Are Here: NYC</t>
  </si>
  <si>
    <t>Mapping the Soul of the City</t>
  </si>
  <si>
    <t>Worn Stories</t>
  </si>
  <si>
    <t>Fries!</t>
  </si>
  <si>
    <t>An Illustrated Guide to the World's Favorite Food</t>
  </si>
  <si>
    <t>War Plan Red</t>
  </si>
  <si>
    <t>The United States' Secret Plan to Invade Canada and Canada's Secret Plan to Invade the United States</t>
  </si>
  <si>
    <t>Pablo &amp; His Chair</t>
  </si>
  <si>
    <t>Miracle at the Forks</t>
  </si>
  <si>
    <t>The Museum that Dares Make a Difference</t>
  </si>
  <si>
    <t>Business is ART</t>
  </si>
  <si>
    <t>and science, gut instinct, hard work, and a certain amount of luck</t>
  </si>
  <si>
    <t>Grilling with House of Q</t>
  </si>
  <si>
    <t>Inspired Recipes for Backyard Barbecues</t>
  </si>
  <si>
    <t>White Spot Cookbook</t>
  </si>
  <si>
    <t>Anna Banana</t>
  </si>
  <si>
    <t>45 Years of Fooling Around with A. Banana</t>
  </si>
  <si>
    <t>Miss Vickie's Kitchen</t>
  </si>
  <si>
    <t xml:space="preserve">Family Recipes from Vickie Kerr, Creator of Miss Vickie's Potato Chips
</t>
  </si>
  <si>
    <t>Harold Town</t>
  </si>
  <si>
    <t>Publisher</t>
  </si>
  <si>
    <t xml:space="preserve">Figure 1 </t>
  </si>
  <si>
    <t xml:space="preserve">Lonely Planet </t>
  </si>
  <si>
    <t xml:space="preserve">Laurence King </t>
  </si>
  <si>
    <t xml:space="preserve">Quadrille </t>
  </si>
  <si>
    <t>Hardie Grant</t>
  </si>
  <si>
    <t>Order Qty</t>
  </si>
  <si>
    <t>Remainder ISBN</t>
  </si>
  <si>
    <t>Bd</t>
  </si>
  <si>
    <t>Remainder MSRP</t>
  </si>
  <si>
    <t>Avail Qty</t>
  </si>
  <si>
    <t xml:space="preserve">Cat </t>
  </si>
  <si>
    <t>Ctn Qty</t>
  </si>
  <si>
    <t>Original ISBN</t>
  </si>
  <si>
    <t>Art</t>
  </si>
  <si>
    <t>Performing Arts</t>
  </si>
  <si>
    <t>Photography</t>
  </si>
  <si>
    <t>Fashion</t>
  </si>
  <si>
    <t>Colouring</t>
  </si>
  <si>
    <t>Cooking</t>
  </si>
  <si>
    <t>Craft</t>
  </si>
  <si>
    <t>Family</t>
  </si>
  <si>
    <t>Fiction</t>
  </si>
  <si>
    <t>Humour</t>
  </si>
  <si>
    <t>Health</t>
  </si>
  <si>
    <t>New Age</t>
  </si>
  <si>
    <t>Reference</t>
  </si>
  <si>
    <t>Self Help</t>
  </si>
  <si>
    <t>Travel</t>
  </si>
  <si>
    <t>Gift</t>
  </si>
  <si>
    <t>Board Books</t>
  </si>
  <si>
    <t>Picturebooks</t>
  </si>
  <si>
    <t>Kids Activity</t>
  </si>
  <si>
    <t>Kids Fiction</t>
  </si>
  <si>
    <t>Kids Non-fiction</t>
  </si>
  <si>
    <t>Kids Gift</t>
  </si>
  <si>
    <t>YA Fiction</t>
  </si>
  <si>
    <t xml:space="preserve">Chronicle </t>
  </si>
  <si>
    <t xml:space="preserve">Drawn &amp; Quarterly  </t>
  </si>
  <si>
    <t>Sourcebooksbooks, Inc.</t>
  </si>
  <si>
    <t xml:space="preserve">Princeton </t>
  </si>
  <si>
    <t xml:space="preserve">Current List Price </t>
  </si>
  <si>
    <t>Architecture &amp; Design</t>
  </si>
  <si>
    <t>Belles Lettres</t>
  </si>
  <si>
    <t>History &amp; Biography</t>
  </si>
  <si>
    <t>Graphica</t>
  </si>
  <si>
    <t>Garden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</si>
</sst>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59">
    <xf numFmtId="0" fontId="0" fillId="0" borderId="0" xfId="0"/>
    <xf numFmtId="14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33" borderId="0" xfId="0" applyFill="1"/>
    <xf numFmtId="0" fontId="0" fillId="0" borderId="0" xfId="0" applyAlignment="1">
      <alignment vertical="top" wrapText="1"/>
    </xf>
    <xf numFmtId="49" fontId="13" fillId="34" borderId="0" xfId="0" applyNumberFormat="1" applyFont="1" applyFill="1" applyAlignment="1">
      <alignment horizontal="center" vertical="top" wrapText="1"/>
    </xf>
    <xf numFmtId="0" fontId="13" fillId="34" borderId="0" xfId="0" applyFont="1" applyFill="1" applyAlignment="1">
      <alignment horizontal="center" vertical="top" wrapText="1"/>
    </xf>
    <xf numFmtId="0" fontId="19" fillId="34" borderId="0" xfId="0" applyFont="1" applyFill="1" applyAlignment="1">
      <alignment horizontal="center" vertical="top" wrapText="1"/>
    </xf>
    <xf numFmtId="1" fontId="20" fillId="34" borderId="0" xfId="0" applyNumberFormat="1" applyFont="1" applyFill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49" fontId="21" fillId="34" borderId="0" xfId="0" applyNumberFormat="1" applyFont="1" applyFill="1" applyAlignment="1">
      <alignment horizontal="center" vertical="top" wrapText="1"/>
    </xf>
    <xf numFmtId="0" fontId="21" fillId="34" borderId="0" xfId="0" applyFont="1" applyFill="1" applyAlignment="1">
      <alignment horizontal="center" vertical="top" wrapText="1"/>
    </xf>
    <xf numFmtId="0" fontId="22" fillId="34" borderId="0" xfId="0" applyFont="1" applyFill="1" applyAlignment="1">
      <alignment horizontal="center" vertical="top" wrapText="1"/>
    </xf>
    <xf numFmtId="1" fontId="23" fillId="34" borderId="0" xfId="0" applyNumberFormat="1" applyFont="1" applyFill="1" applyAlignment="1">
      <alignment horizontal="center" vertical="top" wrapText="1"/>
    </xf>
    <xf numFmtId="44" fontId="21" fillId="34" borderId="0" xfId="16" applyFont="1" applyFill="1" applyAlignment="1">
      <alignment horizontal="center" vertical="top" wrapText="1"/>
    </xf>
    <xf numFmtId="49" fontId="24" fillId="0" borderId="0" xfId="0" applyNumberFormat="1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 wrapText="1"/>
    </xf>
    <xf numFmtId="44" fontId="18" fillId="0" borderId="0" xfId="16" applyFont="1" applyAlignment="1">
      <alignment vertical="top"/>
    </xf>
    <xf numFmtId="1" fontId="0" fillId="0" borderId="0" xfId="0" applyNumberFormat="1" applyAlignment="1">
      <alignment horizontal="center" vertical="top"/>
    </xf>
    <xf numFmtId="0" fontId="18" fillId="0" borderId="0" xfId="0" applyFont="1" applyAlignment="1">
      <alignment vertical="top"/>
    </xf>
    <xf numFmtId="1" fontId="21" fillId="34" borderId="0" xfId="0" applyNumberFormat="1" applyFont="1" applyFill="1" applyAlignment="1">
      <alignment horizontal="center" vertical="top" wrapText="1"/>
    </xf>
    <xf numFmtId="44" fontId="25" fillId="34" borderId="0" xfId="16" applyFont="1" applyFill="1" applyAlignment="1">
      <alignment horizontal="center" vertical="top" wrapText="1"/>
    </xf>
    <xf numFmtId="44" fontId="26" fillId="34" borderId="0" xfId="16" applyFont="1" applyFill="1" applyAlignment="1">
      <alignment horizontal="center" vertical="top" wrapText="1"/>
    </xf>
    <xf numFmtId="44" fontId="27" fillId="0" borderId="0" xfId="16" applyFont="1" applyAlignment="1">
      <alignment vertical="top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49" fontId="21" fillId="3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49" fontId="0" fillId="0" borderId="10" xfId="0" applyNumberFormat="1" applyBorder="1" applyAlignment="1">
      <alignment vertical="top"/>
    </xf>
    <xf numFmtId="49" fontId="0" fillId="0" borderId="10" xfId="0" applyNumberFormat="1" applyBorder="1" applyAlignment="1">
      <alignment vertical="top" wrapText="1"/>
    </xf>
    <xf numFmtId="1" fontId="0" fillId="0" borderId="10" xfId="0" applyNumberFormat="1" applyBorder="1" applyAlignment="1">
      <alignment horizontal="center" vertical="top"/>
    </xf>
    <xf numFmtId="44" fontId="25" fillId="0" borderId="10" xfId="16" applyFont="1" applyFill="1" applyBorder="1" applyAlignment="1">
      <alignment vertical="top"/>
    </xf>
    <xf numFmtId="0" fontId="0" fillId="35" borderId="10" xfId="0" applyFill="1" applyBorder="1" applyAlignment="1">
      <alignment vertical="top"/>
    </xf>
    <xf numFmtId="3" fontId="0" fillId="0" borderId="10" xfId="0" applyNumberFormat="1" applyBorder="1" applyAlignment="1">
      <alignment vertical="top"/>
    </xf>
    <xf numFmtId="0" fontId="26" fillId="34" borderId="0" xfId="0" applyFont="1" applyFill="1" applyAlignment="1">
      <alignment horizontal="center" vertical="top" wrapText="1"/>
    </xf>
    <xf numFmtId="44" fontId="25" fillId="0" borderId="10" xfId="16" applyFont="1" applyBorder="1" applyAlignment="1">
      <alignment vertical="top"/>
    </xf>
    <xf numFmtId="0" fontId="27" fillId="0" borderId="0" xfId="0" applyFont="1" applyAlignment="1">
      <alignment vertical="top"/>
    </xf>
    <xf numFmtId="49" fontId="24" fillId="34" borderId="0" xfId="0" applyNumberFormat="1" applyFont="1" applyFill="1" applyAlignment="1">
      <alignment horizontal="center" vertical="top" wrapText="1"/>
    </xf>
    <xf numFmtId="49" fontId="16" fillId="34" borderId="0" xfId="0" applyNumberFormat="1" applyFont="1" applyFill="1" applyAlignment="1">
      <alignment horizontal="center" vertical="top" wrapText="1"/>
    </xf>
    <xf numFmtId="0" fontId="25" fillId="34" borderId="0" xfId="0" applyFont="1" applyFill="1" applyAlignment="1">
      <alignment horizontal="center" vertical="top" wrapText="1"/>
    </xf>
    <xf numFmtId="49" fontId="16" fillId="34" borderId="10" xfId="0" applyNumberFormat="1" applyFont="1" applyFill="1" applyBorder="1" applyAlignment="1">
      <alignment horizontal="center" vertical="top" wrapText="1"/>
    </xf>
    <xf numFmtId="49" fontId="13" fillId="34" borderId="10" xfId="0" applyNumberFormat="1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25" fillId="34" borderId="10" xfId="0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1" fontId="20" fillId="34" borderId="10" xfId="0" applyNumberFormat="1" applyFont="1" applyFill="1" applyBorder="1" applyAlignment="1">
      <alignment horizontal="center" vertical="top" wrapText="1"/>
    </xf>
    <xf numFmtId="44" fontId="25" fillId="34" borderId="10" xfId="16" applyFont="1" applyFill="1" applyBorder="1" applyAlignment="1">
      <alignment horizontal="center" vertical="top" wrapText="1"/>
    </xf>
    <xf numFmtId="49" fontId="13" fillId="34" borderId="0" xfId="0" applyNumberFormat="1" applyFont="1" applyFill="1" applyAlignment="1">
      <alignment vertical="top"/>
    </xf>
    <xf numFmtId="0" fontId="16" fillId="34" borderId="0" xfId="0" applyFont="1" applyFill="1" applyAlignment="1">
      <alignment horizontal="center" vertical="top" wrapText="1"/>
    </xf>
    <xf numFmtId="49" fontId="21" fillId="34" borderId="0" xfId="0" applyNumberFormat="1" applyFont="1" applyFill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49" fontId="13" fillId="34" borderId="11" xfId="0" applyNumberFormat="1" applyFont="1" applyFill="1" applyBorder="1" applyAlignment="1">
      <alignment vertical="top"/>
    </xf>
    <xf numFmtId="0" fontId="16" fillId="0" borderId="0" xfId="0" applyFont="1" applyAlignment="1">
      <alignment vertical="top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ddy\Desktop\remaind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mainderlist"/>
    </sheetNames>
    <sheetDataSet>
      <sheetData sheetId="0">
        <row r="1">
          <cell r="B1" t="str">
            <v>Item</v>
          </cell>
          <cell r="C1" t="str">
            <v>Title</v>
          </cell>
          <cell r="D1" t="str">
            <v>Status</v>
          </cell>
          <cell r="E1" t="str">
            <v>Binding</v>
          </cell>
          <cell r="F1" t="str">
            <v>Author</v>
          </cell>
          <cell r="G1" t="str">
            <v>Subject</v>
          </cell>
          <cell r="H1" t="str">
            <v>Last Remainder Price</v>
          </cell>
          <cell r="I1" t="str">
            <v>01-Qty</v>
          </cell>
        </row>
        <row r="2">
          <cell r="B2" t="str">
            <v>0200811813213</v>
          </cell>
          <cell r="C2" t="str">
            <v>52 RELAXING RITUALS</v>
          </cell>
          <cell r="D2" t="str">
            <v>R</v>
          </cell>
          <cell r="E2" t="str">
            <v>DC</v>
          </cell>
          <cell r="F2" t="str">
            <v>Synarski, Susan ; Synarski, Susan</v>
          </cell>
          <cell r="G2" t="str">
            <v>SELF</v>
          </cell>
          <cell r="H2">
            <v>1.99</v>
          </cell>
          <cell r="I2">
            <v>342</v>
          </cell>
        </row>
        <row r="3">
          <cell r="B3" t="str">
            <v>0200811820716</v>
          </cell>
          <cell r="C3" t="str">
            <v>WINE LOVER'S COOKBOOK</v>
          </cell>
          <cell r="D3" t="str">
            <v>R</v>
          </cell>
          <cell r="E3" t="str">
            <v>PB</v>
          </cell>
          <cell r="F3" t="str">
            <v>Goldstein, Sid</v>
          </cell>
          <cell r="G3" t="str">
            <v>COOK</v>
          </cell>
          <cell r="H3">
            <v>0</v>
          </cell>
          <cell r="I3">
            <v>0</v>
          </cell>
        </row>
        <row r="4">
          <cell r="B4" t="str">
            <v>0200811824998</v>
          </cell>
          <cell r="C4" t="str">
            <v>DOWN TO THE SEA WITH MR MAGEE</v>
          </cell>
          <cell r="D4" t="str">
            <v>R</v>
          </cell>
          <cell r="E4" t="str">
            <v>CL</v>
          </cell>
          <cell r="F4" t="str">
            <v>VAN DUSEN, CHRIS</v>
          </cell>
          <cell r="G4" t="str">
            <v>CHPI</v>
          </cell>
          <cell r="H4">
            <v>5.99</v>
          </cell>
          <cell r="I4">
            <v>0</v>
          </cell>
        </row>
        <row r="5">
          <cell r="B5" t="str">
            <v>0200811834287</v>
          </cell>
          <cell r="C5" t="str">
            <v>DEEP SLEEP DECK</v>
          </cell>
          <cell r="D5" t="str">
            <v>R</v>
          </cell>
          <cell r="E5" t="str">
            <v>DC</v>
          </cell>
          <cell r="G5" t="str">
            <v>HEAL</v>
          </cell>
          <cell r="H5">
            <v>4.99</v>
          </cell>
          <cell r="I5">
            <v>0</v>
          </cell>
        </row>
        <row r="6">
          <cell r="B6" t="str">
            <v>0200811840028</v>
          </cell>
          <cell r="C6" t="str">
            <v>OLD FRIENDS</v>
          </cell>
          <cell r="D6" t="str">
            <v>R</v>
          </cell>
          <cell r="E6" t="str">
            <v>CL</v>
          </cell>
          <cell r="F6" t="str">
            <v>Asher, Mark</v>
          </cell>
          <cell r="G6" t="str">
            <v>pet</v>
          </cell>
          <cell r="H6">
            <v>5.99</v>
          </cell>
          <cell r="I6">
            <v>0</v>
          </cell>
        </row>
        <row r="7">
          <cell r="B7" t="str">
            <v>0200811840257</v>
          </cell>
          <cell r="C7" t="str">
            <v>SAYING GRACE</v>
          </cell>
          <cell r="D7" t="str">
            <v>R</v>
          </cell>
          <cell r="E7" t="str">
            <v>CL</v>
          </cell>
          <cell r="F7" t="str">
            <v>McElwain, Sarah (ed)</v>
          </cell>
          <cell r="G7" t="str">
            <v>RELI</v>
          </cell>
          <cell r="H7">
            <v>5.99</v>
          </cell>
          <cell r="I7">
            <v>0</v>
          </cell>
        </row>
        <row r="8">
          <cell r="B8" t="str">
            <v>0200811844804</v>
          </cell>
          <cell r="C8" t="str">
            <v>BIRTHDAYS, SHE BELIEVED ... BI</v>
          </cell>
          <cell r="D8" t="str">
            <v>R</v>
          </cell>
          <cell r="E8" t="str">
            <v>JN</v>
          </cell>
          <cell r="F8" t="str">
            <v>Taintor, Anne</v>
          </cell>
          <cell r="G8" t="str">
            <v>GIFT</v>
          </cell>
          <cell r="H8">
            <v>2.99</v>
          </cell>
          <cell r="I8">
            <v>0</v>
          </cell>
        </row>
        <row r="9">
          <cell r="B9" t="str">
            <v>0200811846365</v>
          </cell>
          <cell r="C9" t="str">
            <v>KNOT GDE FOR THE MOTHER OF THE</v>
          </cell>
          <cell r="D9" t="str">
            <v>R</v>
          </cell>
          <cell r="E9" t="str">
            <v>CL</v>
          </cell>
          <cell r="F9" t="str">
            <v>Roney, Carley</v>
          </cell>
          <cell r="G9" t="str">
            <v>REF</v>
          </cell>
          <cell r="H9">
            <v>4.99</v>
          </cell>
          <cell r="I9">
            <v>0</v>
          </cell>
        </row>
        <row r="10">
          <cell r="B10" t="str">
            <v>0200811846464</v>
          </cell>
          <cell r="C10" t="str">
            <v>COUNTRY COOKING OF FRANCE</v>
          </cell>
          <cell r="D10" t="str">
            <v>R</v>
          </cell>
          <cell r="E10" t="str">
            <v>CL</v>
          </cell>
          <cell r="F10" t="str">
            <v>Willan, Anne ; Ruffenach, France</v>
          </cell>
          <cell r="G10" t="str">
            <v>COOK</v>
          </cell>
          <cell r="H10">
            <v>17.25</v>
          </cell>
          <cell r="I10">
            <v>0</v>
          </cell>
        </row>
        <row r="11">
          <cell r="B11" t="str">
            <v>0200811846655</v>
          </cell>
          <cell r="C11" t="str">
            <v>NATIVE FLOWERS JOURNAL</v>
          </cell>
          <cell r="D11" t="str">
            <v>R</v>
          </cell>
          <cell r="E11" t="str">
            <v>JN</v>
          </cell>
          <cell r="F11" t="str">
            <v>Bliss, Jill</v>
          </cell>
          <cell r="G11" t="str">
            <v>GIFT</v>
          </cell>
          <cell r="H11">
            <v>2.99</v>
          </cell>
          <cell r="I11">
            <v>0</v>
          </cell>
        </row>
        <row r="12">
          <cell r="B12" t="str">
            <v>0200811849663</v>
          </cell>
          <cell r="C12" t="str">
            <v>ALL MIXED UP</v>
          </cell>
          <cell r="D12" t="str">
            <v>R</v>
          </cell>
          <cell r="E12" t="str">
            <v>CL</v>
          </cell>
          <cell r="F12" t="str">
            <v>Berger, Carin</v>
          </cell>
          <cell r="G12" t="str">
            <v>CHIL</v>
          </cell>
          <cell r="H12">
            <v>2.99</v>
          </cell>
          <cell r="I12">
            <v>0</v>
          </cell>
        </row>
        <row r="13">
          <cell r="B13" t="str">
            <v>0200811851666</v>
          </cell>
          <cell r="C13" t="str">
            <v>TWO CATS AND THE WOMAN THEY OW</v>
          </cell>
          <cell r="D13" t="str">
            <v>R</v>
          </cell>
          <cell r="E13" t="str">
            <v>CL</v>
          </cell>
          <cell r="F13" t="str">
            <v>Davis, Patti</v>
          </cell>
          <cell r="G13" t="str">
            <v>PET</v>
          </cell>
          <cell r="H13">
            <v>3.99</v>
          </cell>
          <cell r="I13">
            <v>0</v>
          </cell>
        </row>
        <row r="14">
          <cell r="B14" t="str">
            <v>0200811854575</v>
          </cell>
          <cell r="C14" t="str">
            <v>LITTLE REINDEER FINGER PUPPET</v>
          </cell>
          <cell r="D14" t="str">
            <v>R</v>
          </cell>
          <cell r="E14" t="str">
            <v>BD</v>
          </cell>
          <cell r="G14" t="str">
            <v>CHBD</v>
          </cell>
          <cell r="H14">
            <v>1.99</v>
          </cell>
          <cell r="I14">
            <v>0</v>
          </cell>
        </row>
        <row r="15">
          <cell r="B15" t="str">
            <v>0200811857347</v>
          </cell>
          <cell r="C15" t="str">
            <v>DESIGNER'S GUIDE TO COLOR </v>
          </cell>
          <cell r="D15" t="str">
            <v>R</v>
          </cell>
          <cell r="E15" t="str">
            <v>PB</v>
          </cell>
          <cell r="F15" t="str">
            <v>Shibukawa, Ikuyoshi ; Takahashi, Yumi</v>
          </cell>
          <cell r="G15" t="str">
            <v>DESI</v>
          </cell>
          <cell r="H15">
            <v>5.99</v>
          </cell>
          <cell r="I15">
            <v>0</v>
          </cell>
        </row>
        <row r="16">
          <cell r="B16" t="str">
            <v>0200811858962</v>
          </cell>
          <cell r="C16" t="str">
            <v>LEMONDROPS AND BLUEBIRDS JOURN</v>
          </cell>
          <cell r="D16" t="str">
            <v>R</v>
          </cell>
          <cell r="E16" t="str">
            <v>JN</v>
          </cell>
          <cell r="F16" t="str">
            <v>McFerrin, Grady</v>
          </cell>
          <cell r="G16" t="str">
            <v>gift</v>
          </cell>
          <cell r="H16">
            <v>2.99</v>
          </cell>
          <cell r="I16">
            <v>0</v>
          </cell>
        </row>
        <row r="17">
          <cell r="B17" t="str">
            <v>0200811859129</v>
          </cell>
          <cell r="C17" t="str">
            <v>ART OF THE SLOW COOKER</v>
          </cell>
          <cell r="D17" t="str">
            <v>R</v>
          </cell>
          <cell r="E17" t="str">
            <v>PB</v>
          </cell>
          <cell r="F17" t="str">
            <v>Schloss, Andrew ; Duivenvoorden, Yvonne</v>
          </cell>
          <cell r="G17" t="str">
            <v>COOK</v>
          </cell>
          <cell r="H17">
            <v>27.95</v>
          </cell>
          <cell r="I17">
            <v>0</v>
          </cell>
        </row>
        <row r="18">
          <cell r="B18" t="str">
            <v>0200811860231</v>
          </cell>
          <cell r="C18" t="str">
            <v>LITTLE HOOT</v>
          </cell>
          <cell r="D18" t="str">
            <v>R</v>
          </cell>
          <cell r="E18" t="str">
            <v>CL</v>
          </cell>
          <cell r="F18" t="str">
            <v>Rosenthal, Amy Krouse ; Corace, Jen</v>
          </cell>
          <cell r="G18" t="str">
            <v>CHIL</v>
          </cell>
          <cell r="H18">
            <v>3.99</v>
          </cell>
          <cell r="I18">
            <v>0</v>
          </cell>
        </row>
        <row r="19">
          <cell r="B19" t="str">
            <v>0200811860699</v>
          </cell>
          <cell r="C19" t="str">
            <v>HEIRLOOM BEANS</v>
          </cell>
          <cell r="D19" t="str">
            <v>R</v>
          </cell>
          <cell r="E19" t="str">
            <v>PB</v>
          </cell>
          <cell r="F19" t="str">
            <v>Sando, Steve ; Barrington, Vanessa ; Remington, Sara</v>
          </cell>
          <cell r="G19" t="str">
            <v>COOK</v>
          </cell>
          <cell r="H19">
            <v>0</v>
          </cell>
          <cell r="I19">
            <v>0</v>
          </cell>
        </row>
        <row r="20">
          <cell r="B20" t="str">
            <v>0200811861092</v>
          </cell>
          <cell r="C20" t="str">
            <v>LITTLE COW FINGER PUPPET BOOK</v>
          </cell>
          <cell r="D20" t="str">
            <v>R</v>
          </cell>
          <cell r="E20" t="str">
            <v>BD</v>
          </cell>
          <cell r="F20" t="str">
            <v>ImageBooks</v>
          </cell>
          <cell r="G20" t="str">
            <v>chil</v>
          </cell>
          <cell r="H20">
            <v>1.99</v>
          </cell>
          <cell r="I20">
            <v>0</v>
          </cell>
        </row>
        <row r="21">
          <cell r="B21" t="str">
            <v>0200811861467</v>
          </cell>
          <cell r="C21" t="str">
            <v>Quick &amp; Easy KOREAN COOKING</v>
          </cell>
          <cell r="D21" t="str">
            <v>R</v>
          </cell>
          <cell r="E21" t="str">
            <v>PB</v>
          </cell>
          <cell r="F21" t="str">
            <v>Lee, Cecilia Hae-Jin</v>
          </cell>
          <cell r="G21" t="str">
            <v>COOK</v>
          </cell>
          <cell r="H21">
            <v>7.99</v>
          </cell>
          <cell r="I21">
            <v>0</v>
          </cell>
        </row>
        <row r="22">
          <cell r="B22" t="str">
            <v>0200811861535</v>
          </cell>
          <cell r="C22" t="str">
            <v>CREATURE</v>
          </cell>
          <cell r="D22" t="str">
            <v>R</v>
          </cell>
          <cell r="E22" t="str">
            <v>CL</v>
          </cell>
          <cell r="F22" t="str">
            <v>Zuckerman, Andrew</v>
          </cell>
          <cell r="G22" t="str">
            <v>PHOT</v>
          </cell>
          <cell r="H22">
            <v>20.75</v>
          </cell>
          <cell r="I22">
            <v>0</v>
          </cell>
        </row>
        <row r="23">
          <cell r="B23" t="str">
            <v>0200811862938</v>
          </cell>
          <cell r="C23" t="str">
            <v>ERIC CARLE'S DREAM SNOW POP-UP</v>
          </cell>
          <cell r="D23" t="str">
            <v>R</v>
          </cell>
          <cell r="E23" t="str">
            <v>DK</v>
          </cell>
          <cell r="F23" t="str">
            <v>Carle, Eric</v>
          </cell>
          <cell r="G23" t="str">
            <v>CHIL</v>
          </cell>
          <cell r="H23">
            <v>4.25</v>
          </cell>
          <cell r="I23">
            <v>0</v>
          </cell>
        </row>
        <row r="24">
          <cell r="B24" t="str">
            <v>0200811863430</v>
          </cell>
          <cell r="C24" t="str">
            <v>OBSESSED WITH GOLF</v>
          </cell>
          <cell r="D24" t="str">
            <v>R</v>
          </cell>
          <cell r="E24" t="str">
            <v>CL</v>
          </cell>
          <cell r="F24" t="str">
            <v>Shedloski, Dave ; Miceli, Alex</v>
          </cell>
          <cell r="G24" t="str">
            <v>SPOR</v>
          </cell>
          <cell r="H24">
            <v>8.24</v>
          </cell>
          <cell r="I24">
            <v>0</v>
          </cell>
        </row>
        <row r="25">
          <cell r="B25" t="str">
            <v>0200811863485</v>
          </cell>
          <cell r="C25" t="str">
            <v>COOKING FOR TWO</v>
          </cell>
          <cell r="D25" t="str">
            <v>R</v>
          </cell>
          <cell r="E25" t="str">
            <v>CL</v>
          </cell>
          <cell r="F25" t="str">
            <v>Strand, Jessica ; Alpert, Caren</v>
          </cell>
          <cell r="G25" t="str">
            <v>COOK</v>
          </cell>
          <cell r="H25">
            <v>5.74</v>
          </cell>
          <cell r="I25">
            <v>0</v>
          </cell>
        </row>
        <row r="26">
          <cell r="B26" t="str">
            <v>0200811863720</v>
          </cell>
          <cell r="C26" t="str">
            <v>52 SERIES: FUN THINGS TO DO ON</v>
          </cell>
          <cell r="D26" t="str">
            <v>R</v>
          </cell>
          <cell r="E26" t="str">
            <v>DC</v>
          </cell>
          <cell r="F26" t="str">
            <v>Gordon, Lynn ; Johnson, Karen ; Synarski, Susan</v>
          </cell>
          <cell r="G26" t="str">
            <v>SPOR</v>
          </cell>
          <cell r="H26">
            <v>2.24</v>
          </cell>
          <cell r="I26">
            <v>0</v>
          </cell>
        </row>
        <row r="27">
          <cell r="B27" t="str">
            <v>0200811864833</v>
          </cell>
          <cell r="C27" t="str">
            <v>JUST A MINUTE</v>
          </cell>
          <cell r="D27" t="str">
            <v>R</v>
          </cell>
          <cell r="E27" t="str">
            <v>PB</v>
          </cell>
          <cell r="F27" t="str">
            <v>Morales, Yuyi</v>
          </cell>
          <cell r="G27" t="str">
            <v>CHIL</v>
          </cell>
          <cell r="H27">
            <v>1.99</v>
          </cell>
          <cell r="I27">
            <v>90</v>
          </cell>
        </row>
        <row r="28">
          <cell r="B28" t="str">
            <v>0200811865700</v>
          </cell>
          <cell r="C28" t="str">
            <v>FAST BREADS</v>
          </cell>
          <cell r="D28" t="str">
            <v>R</v>
          </cell>
          <cell r="E28" t="str">
            <v>PB</v>
          </cell>
          <cell r="F28" t="str">
            <v>Klivans, Elinor</v>
          </cell>
          <cell r="G28" t="str">
            <v>COOK</v>
          </cell>
          <cell r="H28">
            <v>5.74</v>
          </cell>
          <cell r="I28">
            <v>0</v>
          </cell>
        </row>
        <row r="29">
          <cell r="B29" t="str">
            <v>0200811865809</v>
          </cell>
          <cell r="C29" t="str">
            <v>PORCH PARTIES</v>
          </cell>
          <cell r="D29" t="str">
            <v>R</v>
          </cell>
          <cell r="E29" t="str">
            <v>CL</v>
          </cell>
          <cell r="F29" t="str">
            <v>Gee, Denise ; Peacock, Robert M.</v>
          </cell>
          <cell r="G29" t="str">
            <v>COOK</v>
          </cell>
          <cell r="H29">
            <v>4.99</v>
          </cell>
          <cell r="I29">
            <v>0</v>
          </cell>
        </row>
        <row r="30">
          <cell r="B30" t="str">
            <v>0200811866424</v>
          </cell>
          <cell r="C30" t="str">
            <v>ULTIMATE BOOK OF CARD GAMES</v>
          </cell>
          <cell r="D30" t="str">
            <v>R</v>
          </cell>
          <cell r="E30" t="str">
            <v>CL</v>
          </cell>
          <cell r="F30" t="str">
            <v>Mcneely, Scott </v>
          </cell>
          <cell r="G30" t="str">
            <v>SPOR</v>
          </cell>
          <cell r="H30">
            <v>5.74</v>
          </cell>
          <cell r="I30">
            <v>0</v>
          </cell>
        </row>
        <row r="31">
          <cell r="B31" t="str">
            <v>0200811866905</v>
          </cell>
          <cell r="C31" t="str">
            <v>CARNIVORES</v>
          </cell>
          <cell r="D31" t="str">
            <v>R</v>
          </cell>
          <cell r="E31" t="str">
            <v>CL</v>
          </cell>
          <cell r="F31" t="str">
            <v>Reynolds, Aaron ; Santat, Dan</v>
          </cell>
          <cell r="G31" t="str">
            <v>CHIL</v>
          </cell>
          <cell r="H31">
            <v>5.75</v>
          </cell>
          <cell r="I31">
            <v>0</v>
          </cell>
        </row>
        <row r="32">
          <cell r="B32" t="str">
            <v>0200811867834</v>
          </cell>
          <cell r="C32" t="str">
            <v>OPEN THIS LITTLE BOOK</v>
          </cell>
          <cell r="D32" t="str">
            <v>R</v>
          </cell>
          <cell r="E32" t="str">
            <v>CL</v>
          </cell>
          <cell r="F32" t="str">
            <v>Klausmeier, Jesse ; Lee, Suzy</v>
          </cell>
          <cell r="G32" t="str">
            <v>CHIL</v>
          </cell>
          <cell r="H32">
            <v>5.75</v>
          </cell>
          <cell r="I32">
            <v>0</v>
          </cell>
        </row>
        <row r="33">
          <cell r="B33" t="str">
            <v>0200811868671</v>
          </cell>
          <cell r="C33" t="str">
            <v>STONEWALL KITCHEN: BREAKFAST</v>
          </cell>
          <cell r="D33" t="str">
            <v>R</v>
          </cell>
          <cell r="E33" t="str">
            <v>CL</v>
          </cell>
          <cell r="F33" t="str">
            <v>King, Jonathan ; Stott, Jim ; Gunst, Kathy</v>
          </cell>
          <cell r="G33" t="str">
            <v>COOK</v>
          </cell>
          <cell r="H33">
            <v>6.24</v>
          </cell>
          <cell r="I33">
            <v>0</v>
          </cell>
        </row>
        <row r="34">
          <cell r="B34" t="str">
            <v>0200811869463</v>
          </cell>
          <cell r="C34" t="str">
            <v>MUSIC LISTOGRAPHY JOURNAL</v>
          </cell>
          <cell r="D34" t="str">
            <v>R</v>
          </cell>
          <cell r="E34" t="str">
            <v>JN</v>
          </cell>
          <cell r="F34" t="str">
            <v>Nola, Lisa</v>
          </cell>
          <cell r="G34" t="str">
            <v>MUSI</v>
          </cell>
          <cell r="H34">
            <v>6.24</v>
          </cell>
          <cell r="I34">
            <v>0</v>
          </cell>
        </row>
        <row r="35">
          <cell r="B35" t="str">
            <v>0200811869524</v>
          </cell>
          <cell r="C35" t="str">
            <v>BECK</v>
          </cell>
          <cell r="D35" t="str">
            <v>R</v>
          </cell>
          <cell r="E35" t="str">
            <v>Cl</v>
          </cell>
          <cell r="F35" t="str">
            <v>de Wilde, Autumn ; Gondry, Michel</v>
          </cell>
          <cell r="G35" t="str">
            <v>MUSI</v>
          </cell>
          <cell r="H35">
            <v>9.99</v>
          </cell>
          <cell r="I35">
            <v>0</v>
          </cell>
        </row>
        <row r="36">
          <cell r="B36" t="str">
            <v>0200811869593</v>
          </cell>
          <cell r="C36" t="str">
            <v>ERIC CARLE STROLLER CARDS</v>
          </cell>
          <cell r="D36" t="str">
            <v>R</v>
          </cell>
          <cell r="E36" t="str">
            <v>MI</v>
          </cell>
          <cell r="F36" t="str">
            <v>Carle, Eric </v>
          </cell>
          <cell r="G36" t="str">
            <v>GIFT</v>
          </cell>
          <cell r="H36">
            <v>12.95</v>
          </cell>
          <cell r="I36">
            <v>0</v>
          </cell>
        </row>
        <row r="37">
          <cell r="B37" t="str">
            <v>0200811870827</v>
          </cell>
          <cell r="C37" t="str">
            <v>TOP CHEF: THE QUICKFIRE COOKBO</v>
          </cell>
          <cell r="D37" t="str">
            <v>R</v>
          </cell>
          <cell r="E37" t="str">
            <v>CL</v>
          </cell>
          <cell r="F37" t="str">
            <v>Top Chef</v>
          </cell>
          <cell r="G37" t="str">
            <v>COOK</v>
          </cell>
          <cell r="H37">
            <v>0</v>
          </cell>
          <cell r="I37">
            <v>0</v>
          </cell>
        </row>
        <row r="38">
          <cell r="B38" t="str">
            <v>0200811870940</v>
          </cell>
          <cell r="C38" t="str">
            <v>INDIE ROCK COLORING BOOK</v>
          </cell>
          <cell r="D38" t="str">
            <v>R</v>
          </cell>
          <cell r="E38" t="str">
            <v>jn</v>
          </cell>
          <cell r="F38" t="str">
            <v>Miller, Andy J. ; de Reeder, Pierre</v>
          </cell>
          <cell r="G38" t="str">
            <v>MUSI</v>
          </cell>
          <cell r="H38">
            <v>2.99</v>
          </cell>
          <cell r="I38">
            <v>73</v>
          </cell>
        </row>
        <row r="39">
          <cell r="B39" t="str">
            <v>0200811870988</v>
          </cell>
          <cell r="C39" t="str">
            <v>BIRD</v>
          </cell>
          <cell r="D39" t="str">
            <v>R</v>
          </cell>
          <cell r="E39" t="str">
            <v>CL</v>
          </cell>
          <cell r="F39" t="str">
            <v>Zuckerman, Andrew </v>
          </cell>
          <cell r="G39" t="str">
            <v>PHOT</v>
          </cell>
          <cell r="H39">
            <v>75</v>
          </cell>
          <cell r="I39">
            <v>0</v>
          </cell>
        </row>
        <row r="40">
          <cell r="B40" t="str">
            <v>0200811871053</v>
          </cell>
          <cell r="C40" t="str">
            <v>MINI LUNCH NOTES</v>
          </cell>
          <cell r="D40" t="str">
            <v>R</v>
          </cell>
          <cell r="E40" t="str">
            <v>NC</v>
          </cell>
          <cell r="G40" t="str">
            <v>GIFT</v>
          </cell>
          <cell r="H40">
            <v>2.99</v>
          </cell>
          <cell r="I40">
            <v>0</v>
          </cell>
        </row>
        <row r="41">
          <cell r="B41" t="str">
            <v>0200811871060</v>
          </cell>
          <cell r="C41" t="str">
            <v>EARTHLING!</v>
          </cell>
          <cell r="D41" t="str">
            <v>R</v>
          </cell>
          <cell r="E41" t="str">
            <v>Cl</v>
          </cell>
          <cell r="F41" t="str">
            <v>Fearing, Mark ; Rummel, Tim</v>
          </cell>
          <cell r="G41" t="str">
            <v>CHIL</v>
          </cell>
          <cell r="H41">
            <v>6.75</v>
          </cell>
          <cell r="I41">
            <v>0</v>
          </cell>
        </row>
        <row r="42">
          <cell r="B42" t="str">
            <v>0200811871138</v>
          </cell>
          <cell r="C42" t="str">
            <v>OBSESSED WITH MARVEL</v>
          </cell>
          <cell r="D42" t="str">
            <v>R</v>
          </cell>
          <cell r="E42" t="str">
            <v>CL</v>
          </cell>
          <cell r="G42" t="str">
            <v>SPOR</v>
          </cell>
          <cell r="H42">
            <v>8.74</v>
          </cell>
          <cell r="I42">
            <v>0</v>
          </cell>
        </row>
        <row r="43">
          <cell r="B43" t="str">
            <v>0200811871589</v>
          </cell>
          <cell r="C43" t="str">
            <v>DADDY LOTTO</v>
          </cell>
          <cell r="D43" t="str">
            <v>R</v>
          </cell>
          <cell r="E43" t="str">
            <v>NP</v>
          </cell>
          <cell r="F43" t="str">
            <v>Sorensen, Rob</v>
          </cell>
          <cell r="G43" t="str">
            <v>hum</v>
          </cell>
          <cell r="H43">
            <v>2.99</v>
          </cell>
          <cell r="I43">
            <v>0</v>
          </cell>
        </row>
        <row r="44">
          <cell r="B44" t="str">
            <v>0200811872326</v>
          </cell>
          <cell r="C44" t="str">
            <v>QUICK &amp; EASY MEXICAN COOKING</v>
          </cell>
          <cell r="D44" t="str">
            <v>R</v>
          </cell>
          <cell r="E44" t="str">
            <v>PB</v>
          </cell>
          <cell r="F44" t="str">
            <v>Hae Jin Lee, Cecilia ; Beisch, Leigh</v>
          </cell>
          <cell r="G44" t="str">
            <v>COOK</v>
          </cell>
          <cell r="H44">
            <v>8.24</v>
          </cell>
          <cell r="I44">
            <v>0</v>
          </cell>
        </row>
        <row r="45">
          <cell r="B45" t="str">
            <v>0200811872593</v>
          </cell>
          <cell r="C45" t="str">
            <v>GLORIOUS PASTA OF ITALY</v>
          </cell>
          <cell r="D45" t="str">
            <v>R</v>
          </cell>
          <cell r="E45" t="str">
            <v>CL</v>
          </cell>
          <cell r="F45" t="str">
            <v>Marchetti, Domenica ; Ruffenach, France</v>
          </cell>
          <cell r="G45" t="str">
            <v>COOK</v>
          </cell>
          <cell r="H45">
            <v>8.99</v>
          </cell>
          <cell r="I45">
            <v>0</v>
          </cell>
        </row>
        <row r="46">
          <cell r="B46" t="str">
            <v>0200811874382</v>
          </cell>
          <cell r="C46" t="str">
            <v>WCS WEIRD JUNIOR</v>
          </cell>
          <cell r="D46" t="str">
            <v>R</v>
          </cell>
          <cell r="E46" t="str">
            <v>PB</v>
          </cell>
          <cell r="F46" t="str">
            <v>Borgenicht, David</v>
          </cell>
          <cell r="G46" t="str">
            <v>CHIL</v>
          </cell>
          <cell r="H46">
            <v>3.25</v>
          </cell>
          <cell r="I46">
            <v>0</v>
          </cell>
        </row>
        <row r="47">
          <cell r="B47" t="str">
            <v>0200811874467</v>
          </cell>
          <cell r="C47" t="str">
            <v>MY GARDEN</v>
          </cell>
          <cell r="D47" t="str">
            <v>R</v>
          </cell>
          <cell r="E47" t="str">
            <v>JN</v>
          </cell>
          <cell r="F47" t="str">
            <v>Luebbermann, Mimi</v>
          </cell>
          <cell r="G47" t="str">
            <v>gard</v>
          </cell>
          <cell r="H47">
            <v>5.99</v>
          </cell>
          <cell r="I47">
            <v>0</v>
          </cell>
        </row>
        <row r="48">
          <cell r="B48" t="str">
            <v>0200811874665</v>
          </cell>
          <cell r="C48" t="str">
            <v>JAMES BEARD FOUNDATION'S B</v>
          </cell>
          <cell r="D48" t="str">
            <v>R</v>
          </cell>
          <cell r="E48" t="str">
            <v>Cl</v>
          </cell>
          <cell r="F48" t="str">
            <v>Wohl, Kit ; Cushner, Susie</v>
          </cell>
          <cell r="G48" t="str">
            <v>COOK</v>
          </cell>
          <cell r="H48">
            <v>20.75</v>
          </cell>
          <cell r="I48">
            <v>0</v>
          </cell>
        </row>
        <row r="49">
          <cell r="B49" t="str">
            <v>0200811875013</v>
          </cell>
          <cell r="C49" t="str">
            <v>SPAIN</v>
          </cell>
          <cell r="D49" t="str">
            <v>R</v>
          </cell>
          <cell r="E49" t="str">
            <v>CL</v>
          </cell>
          <cell r="F49" t="str">
            <v>Koehler, Jeff ; Miyazaki, Kevin J.</v>
          </cell>
          <cell r="G49" t="str">
            <v>COOK</v>
          </cell>
          <cell r="H49">
            <v>13.75</v>
          </cell>
          <cell r="I49">
            <v>0</v>
          </cell>
        </row>
        <row r="50">
          <cell r="B50" t="str">
            <v>0200811875044</v>
          </cell>
          <cell r="C50" t="str">
            <v>MIETTE</v>
          </cell>
          <cell r="D50" t="str">
            <v>R</v>
          </cell>
          <cell r="E50" t="str">
            <v>CL</v>
          </cell>
          <cell r="F50" t="str">
            <v>Ray, Meg ; Jonath, Leslie ; Frankeny, Frankie</v>
          </cell>
          <cell r="G50" t="str">
            <v>COOK</v>
          </cell>
          <cell r="H50">
            <v>9.49</v>
          </cell>
          <cell r="I50">
            <v>0</v>
          </cell>
        </row>
        <row r="51">
          <cell r="B51" t="str">
            <v>0200811875440</v>
          </cell>
          <cell r="C51" t="str">
            <v>THOUGHTS ON DESIGN</v>
          </cell>
          <cell r="D51" t="str">
            <v>R</v>
          </cell>
          <cell r="E51" t="str">
            <v>PB</v>
          </cell>
          <cell r="F51" t="str">
            <v>Rand, Paul ; Bierut, Michael</v>
          </cell>
          <cell r="G51" t="str">
            <v>DESI</v>
          </cell>
          <cell r="H51">
            <v>6.99</v>
          </cell>
          <cell r="I51">
            <v>0</v>
          </cell>
        </row>
        <row r="52">
          <cell r="B52" t="str">
            <v>0200811876379</v>
          </cell>
          <cell r="C52" t="str">
            <v>CAKE POPS</v>
          </cell>
          <cell r="D52" t="str">
            <v>R</v>
          </cell>
          <cell r="E52" t="str">
            <v>CL</v>
          </cell>
          <cell r="F52" t="str">
            <v>Dudley, Angie</v>
          </cell>
          <cell r="G52" t="str">
            <v>COOK</v>
          </cell>
          <cell r="H52">
            <v>5.99</v>
          </cell>
          <cell r="I52">
            <v>0</v>
          </cell>
        </row>
        <row r="53">
          <cell r="B53" t="str">
            <v>0200811876768</v>
          </cell>
          <cell r="C53" t="str">
            <v>GRAFFITI ART COLORING BOOK</v>
          </cell>
          <cell r="D53" t="str">
            <v>R</v>
          </cell>
          <cell r="E53" t="str">
            <v>JN</v>
          </cell>
          <cell r="F53" t="str">
            <v>Morano, Aye Jay</v>
          </cell>
          <cell r="G53" t="str">
            <v>ARTS</v>
          </cell>
          <cell r="H53">
            <v>2.99</v>
          </cell>
          <cell r="I53">
            <v>82</v>
          </cell>
        </row>
        <row r="54">
          <cell r="B54" t="str">
            <v>0200811877383</v>
          </cell>
          <cell r="C54" t="str">
            <v>MOROCCO</v>
          </cell>
          <cell r="D54" t="str">
            <v>R</v>
          </cell>
          <cell r="E54" t="str">
            <v>Cl</v>
          </cell>
          <cell r="F54" t="str">
            <v>Koehler, Jeff</v>
          </cell>
          <cell r="G54" t="str">
            <v>COOK</v>
          </cell>
          <cell r="H54">
            <v>8.74</v>
          </cell>
          <cell r="I54">
            <v>0</v>
          </cell>
        </row>
        <row r="55">
          <cell r="B55" t="str">
            <v>0200811877413</v>
          </cell>
          <cell r="C55" t="str">
            <v>EAT LIKE A MAN</v>
          </cell>
          <cell r="D55" t="str">
            <v>R</v>
          </cell>
          <cell r="E55" t="str">
            <v>CL</v>
          </cell>
          <cell r="F55" t="str">
            <v>D'Agostino, Ryan ; Colicchio, Tom</v>
          </cell>
          <cell r="G55" t="str">
            <v>COOK</v>
          </cell>
          <cell r="H55">
            <v>10.5</v>
          </cell>
          <cell r="I55">
            <v>0</v>
          </cell>
        </row>
        <row r="56">
          <cell r="B56" t="str">
            <v>0200811877666</v>
          </cell>
          <cell r="C56" t="str">
            <v>CHEESEMONGERS KITCHEN</v>
          </cell>
          <cell r="D56" t="str">
            <v>R</v>
          </cell>
          <cell r="E56" t="str">
            <v>Cl</v>
          </cell>
          <cell r="F56" t="str">
            <v>Hastings, Chester ; De Leo, Joseph</v>
          </cell>
          <cell r="G56" t="str">
            <v>COOK</v>
          </cell>
          <cell r="H56">
            <v>9.99</v>
          </cell>
          <cell r="I56">
            <v>0</v>
          </cell>
        </row>
        <row r="57">
          <cell r="B57" t="str">
            <v>0200811877970</v>
          </cell>
          <cell r="C57" t="str">
            <v>TWO HANDS TO LOVE YOU</v>
          </cell>
          <cell r="D57" t="str">
            <v>R</v>
          </cell>
          <cell r="E57" t="str">
            <v>CL</v>
          </cell>
          <cell r="F57" t="str">
            <v>Adams, Diane ; Keiser, Paige</v>
          </cell>
          <cell r="G57" t="str">
            <v>CHIL</v>
          </cell>
          <cell r="H57">
            <v>5.25</v>
          </cell>
          <cell r="I57">
            <v>0</v>
          </cell>
        </row>
        <row r="58">
          <cell r="B58" t="str">
            <v>0200811878366</v>
          </cell>
          <cell r="C58" t="str">
            <v>MY FUTURE LISTOGRAPHY</v>
          </cell>
          <cell r="D58" t="str">
            <v>R</v>
          </cell>
          <cell r="E58" t="str">
            <v>JN</v>
          </cell>
          <cell r="F58" t="str">
            <v>Nola, Lisa</v>
          </cell>
          <cell r="G58" t="str">
            <v>GIFT</v>
          </cell>
          <cell r="H58">
            <v>6.24</v>
          </cell>
          <cell r="I58">
            <v>0</v>
          </cell>
        </row>
        <row r="59">
          <cell r="B59" t="str">
            <v>0200811878373</v>
          </cell>
          <cell r="C59" t="str">
            <v>ROOTS</v>
          </cell>
          <cell r="D59" t="str">
            <v>R</v>
          </cell>
          <cell r="E59" t="str">
            <v>CL</v>
          </cell>
          <cell r="F59" t="str">
            <v>Morgan, Diane ; Achilleos, Antonis ; Madison, Deborah</v>
          </cell>
          <cell r="G59" t="str">
            <v>COOK</v>
          </cell>
          <cell r="H59">
            <v>13.75</v>
          </cell>
          <cell r="I59">
            <v>0</v>
          </cell>
        </row>
        <row r="60">
          <cell r="B60" t="str">
            <v>0200811878632</v>
          </cell>
          <cell r="C60" t="str">
            <v>PURE VEGAN</v>
          </cell>
          <cell r="D60" t="str">
            <v>R</v>
          </cell>
          <cell r="E60" t="str">
            <v>Pb</v>
          </cell>
          <cell r="F60" t="str">
            <v>Shuldiner, Joseph</v>
          </cell>
          <cell r="G60" t="str">
            <v>COOK</v>
          </cell>
          <cell r="H60">
            <v>8.99</v>
          </cell>
          <cell r="I60">
            <v>0</v>
          </cell>
        </row>
        <row r="61">
          <cell r="B61" t="str">
            <v>0200991858875</v>
          </cell>
          <cell r="C61" t="str">
            <v>WHITE SPOT COOKBOOK</v>
          </cell>
          <cell r="D61" t="str">
            <v>R</v>
          </cell>
          <cell r="E61" t="str">
            <v>PB</v>
          </cell>
          <cell r="F61" t="str">
            <v>Gold, Kerry</v>
          </cell>
          <cell r="G61" t="str">
            <v>COOK</v>
          </cell>
          <cell r="H61">
            <v>6.24</v>
          </cell>
          <cell r="I61">
            <v>631</v>
          </cell>
        </row>
        <row r="62">
          <cell r="B62" t="str">
            <v>0201401901310</v>
          </cell>
          <cell r="C62" t="str">
            <v>GETTING IN THE GAP</v>
          </cell>
          <cell r="D62" t="str">
            <v>R</v>
          </cell>
          <cell r="E62" t="str">
            <v>CL</v>
          </cell>
          <cell r="F62" t="str">
            <v>Dyer, Wayne W.</v>
          </cell>
          <cell r="G62" t="str">
            <v>self</v>
          </cell>
          <cell r="H62">
            <v>3.99</v>
          </cell>
          <cell r="I62">
            <v>96</v>
          </cell>
        </row>
        <row r="63">
          <cell r="B63" t="str">
            <v>0201401905325</v>
          </cell>
          <cell r="C63" t="str">
            <v>CONTACTING YOUR SPIRIT GDE</v>
          </cell>
          <cell r="D63" t="str">
            <v>R</v>
          </cell>
          <cell r="E63" t="str">
            <v>CL</v>
          </cell>
          <cell r="F63" t="str">
            <v>Browne, Sylvia</v>
          </cell>
          <cell r="G63" t="str">
            <v>NWAGE</v>
          </cell>
          <cell r="H63">
            <v>4.99</v>
          </cell>
          <cell r="I63">
            <v>0</v>
          </cell>
        </row>
        <row r="64">
          <cell r="B64" t="str">
            <v>0201401917205</v>
          </cell>
          <cell r="C64" t="str">
            <v>AGE OF MIRACLES</v>
          </cell>
          <cell r="D64" t="str">
            <v>R</v>
          </cell>
          <cell r="E64" t="str">
            <v>PB</v>
          </cell>
          <cell r="F64" t="str">
            <v>Williamson, Marianne</v>
          </cell>
          <cell r="G64" t="str">
            <v>SELF</v>
          </cell>
          <cell r="H64">
            <v>3.75</v>
          </cell>
          <cell r="I64">
            <v>0</v>
          </cell>
        </row>
        <row r="65">
          <cell r="B65" t="str">
            <v>0201401917236</v>
          </cell>
          <cell r="C65" t="str">
            <v>LOVE HAS FORGOTTEN NO ONE</v>
          </cell>
          <cell r="D65" t="str">
            <v>R</v>
          </cell>
          <cell r="E65" t="str">
            <v>CL</v>
          </cell>
          <cell r="F65" t="str">
            <v>Renard, Gary R.</v>
          </cell>
          <cell r="G65" t="str">
            <v>NWAGE</v>
          </cell>
          <cell r="H65">
            <v>4.99</v>
          </cell>
          <cell r="I65">
            <v>36</v>
          </cell>
        </row>
        <row r="66">
          <cell r="B66" t="str">
            <v>0201401919056</v>
          </cell>
          <cell r="C66" t="str">
            <v>BEING OF POWER</v>
          </cell>
          <cell r="D66" t="str">
            <v>R</v>
          </cell>
          <cell r="E66" t="str">
            <v>CL</v>
          </cell>
          <cell r="F66" t="str">
            <v>Baptiste, Baron</v>
          </cell>
          <cell r="G66" t="str">
            <v>SELF</v>
          </cell>
          <cell r="H66">
            <v>4.99</v>
          </cell>
          <cell r="I66">
            <v>0</v>
          </cell>
        </row>
        <row r="67">
          <cell r="B67" t="str">
            <v>0201401925590</v>
          </cell>
          <cell r="C67" t="str">
            <v>DAILYOM</v>
          </cell>
          <cell r="D67" t="str">
            <v>R</v>
          </cell>
          <cell r="E67" t="str">
            <v>PB</v>
          </cell>
          <cell r="F67" t="str">
            <v>Taylor, Madisyn</v>
          </cell>
          <cell r="G67" t="str">
            <v>SELF</v>
          </cell>
          <cell r="H67">
            <v>4.99</v>
          </cell>
          <cell r="I67">
            <v>0</v>
          </cell>
        </row>
        <row r="68">
          <cell r="B68" t="str">
            <v>0201401925965</v>
          </cell>
          <cell r="C68" t="str">
            <v>POWER OF INTENTION</v>
          </cell>
          <cell r="D68" t="str">
            <v>R</v>
          </cell>
          <cell r="E68" t="str">
            <v>PB</v>
          </cell>
          <cell r="F68" t="str">
            <v>Dyer, Wayne W.</v>
          </cell>
          <cell r="G68" t="str">
            <v>SELF</v>
          </cell>
          <cell r="H68">
            <v>5.99</v>
          </cell>
          <cell r="I68">
            <v>0</v>
          </cell>
        </row>
        <row r="69">
          <cell r="B69" t="str">
            <v>0201401926368</v>
          </cell>
          <cell r="C69" t="str">
            <v>MIRACLES OF ARCHANGEL GABRIEL</v>
          </cell>
          <cell r="D69" t="str">
            <v>R</v>
          </cell>
          <cell r="E69" t="str">
            <v>CL</v>
          </cell>
          <cell r="F69" t="str">
            <v>Virtue, Doreen</v>
          </cell>
          <cell r="G69" t="str">
            <v>NWAGE</v>
          </cell>
          <cell r="H69">
            <v>3.99</v>
          </cell>
          <cell r="I69">
            <v>100</v>
          </cell>
        </row>
        <row r="70">
          <cell r="B70" t="str">
            <v>0201401926375</v>
          </cell>
          <cell r="C70" t="str">
            <v>MIRACLES OF ARCHANGEL GABRIEL</v>
          </cell>
          <cell r="D70" t="str">
            <v>R</v>
          </cell>
          <cell r="E70" t="str">
            <v>PB</v>
          </cell>
          <cell r="F70" t="str">
            <v>Virtue, Doreen</v>
          </cell>
          <cell r="G70" t="str">
            <v>NWAGE</v>
          </cell>
          <cell r="H70">
            <v>3.99</v>
          </cell>
          <cell r="I70">
            <v>0</v>
          </cell>
        </row>
        <row r="71">
          <cell r="B71" t="str">
            <v>0201401927129</v>
          </cell>
          <cell r="C71" t="str">
            <v>MANOPAUSE</v>
          </cell>
          <cell r="D71" t="str">
            <v>R</v>
          </cell>
          <cell r="E71" t="str">
            <v>PB</v>
          </cell>
          <cell r="F71" t="str">
            <v>Friedman Bloch, Lisa ; Kirtland Silverman, Kathy</v>
          </cell>
          <cell r="G71" t="str">
            <v>SELF</v>
          </cell>
          <cell r="H71">
            <v>4.99</v>
          </cell>
          <cell r="I71">
            <v>0</v>
          </cell>
        </row>
        <row r="72">
          <cell r="B72" t="str">
            <v>0201401928089</v>
          </cell>
          <cell r="C72" t="str">
            <v>THIS IS THE MOMENT!</v>
          </cell>
          <cell r="D72" t="str">
            <v>R</v>
          </cell>
          <cell r="E72" t="str">
            <v>CL</v>
          </cell>
          <cell r="F72" t="str">
            <v>Green, Walter ; Blanchard, Ken</v>
          </cell>
          <cell r="G72" t="str">
            <v>SELF</v>
          </cell>
          <cell r="H72">
            <v>3.99</v>
          </cell>
          <cell r="I72">
            <v>50</v>
          </cell>
        </row>
        <row r="73">
          <cell r="B73" t="str">
            <v>0201401928140</v>
          </cell>
          <cell r="C73" t="str">
            <v>LOVE YOUR ENEMIES</v>
          </cell>
          <cell r="D73" t="str">
            <v>R</v>
          </cell>
          <cell r="E73" t="str">
            <v>CL</v>
          </cell>
          <cell r="F73" t="str">
            <v>Salzberg, Sharon ; Thurman, Robert</v>
          </cell>
          <cell r="G73" t="str">
            <v>SELF</v>
          </cell>
          <cell r="H73">
            <v>6.24</v>
          </cell>
          <cell r="I73">
            <v>0</v>
          </cell>
        </row>
        <row r="74">
          <cell r="B74" t="str">
            <v>0201401928157</v>
          </cell>
          <cell r="C74" t="str">
            <v>LOVE YOUR ENEMIES</v>
          </cell>
          <cell r="D74" t="str">
            <v>R</v>
          </cell>
          <cell r="E74" t="str">
            <v>PB</v>
          </cell>
          <cell r="F74" t="str">
            <v>Salzberg, Sharon ; Thurman, Robert</v>
          </cell>
          <cell r="G74" t="str">
            <v>SELF</v>
          </cell>
          <cell r="H74">
            <v>2.99</v>
          </cell>
          <cell r="I74">
            <v>81</v>
          </cell>
        </row>
        <row r="75">
          <cell r="B75" t="str">
            <v>0201401928805</v>
          </cell>
          <cell r="C75" t="str">
            <v>ASSERTIVENESS FOR EARTH ANGELS</v>
          </cell>
          <cell r="D75" t="str">
            <v>R</v>
          </cell>
          <cell r="E75" t="str">
            <v>CL</v>
          </cell>
          <cell r="F75" t="str">
            <v>Virtue, Doreen</v>
          </cell>
          <cell r="G75" t="str">
            <v>NWAGE</v>
          </cell>
          <cell r="H75">
            <v>3.99</v>
          </cell>
          <cell r="I75">
            <v>44</v>
          </cell>
        </row>
        <row r="76">
          <cell r="B76" t="str">
            <v>0201401929093</v>
          </cell>
          <cell r="C76" t="str">
            <v>RESONANCE</v>
          </cell>
          <cell r="D76" t="str">
            <v>R</v>
          </cell>
          <cell r="E76" t="str">
            <v>PB</v>
          </cell>
          <cell r="F76" t="str">
            <v>Hawkes, Joyce</v>
          </cell>
          <cell r="G76" t="str">
            <v>NWAGE</v>
          </cell>
          <cell r="H76">
            <v>3.99</v>
          </cell>
          <cell r="I76">
            <v>0</v>
          </cell>
        </row>
        <row r="77">
          <cell r="B77" t="str">
            <v>0201401929123</v>
          </cell>
          <cell r="C77" t="str">
            <v>BELLY FAT CURE SUGAR &amp; CAR</v>
          </cell>
          <cell r="D77" t="str">
            <v>R</v>
          </cell>
          <cell r="E77" t="str">
            <v>PB</v>
          </cell>
          <cell r="F77" t="str">
            <v>Cruise, Jorge</v>
          </cell>
          <cell r="G77" t="str">
            <v>HEAL</v>
          </cell>
          <cell r="H77">
            <v>0.99</v>
          </cell>
          <cell r="I77">
            <v>67</v>
          </cell>
        </row>
        <row r="78">
          <cell r="B78" t="str">
            <v>0201401929239</v>
          </cell>
          <cell r="C78" t="str">
            <v>TURNING POINT</v>
          </cell>
          <cell r="D78" t="str">
            <v>R</v>
          </cell>
          <cell r="E78" t="str">
            <v>CL</v>
          </cell>
          <cell r="F78" t="str">
            <v>Braden, Gregg</v>
          </cell>
          <cell r="G78" t="str">
            <v>NWAGE</v>
          </cell>
          <cell r="H78">
            <v>4.99</v>
          </cell>
          <cell r="I78">
            <v>475</v>
          </cell>
        </row>
        <row r="79">
          <cell r="B79" t="str">
            <v>0201401931287</v>
          </cell>
          <cell r="C79" t="str">
            <v>I BELIEVE</v>
          </cell>
          <cell r="D79" t="str">
            <v>r</v>
          </cell>
          <cell r="E79" t="str">
            <v>PB</v>
          </cell>
          <cell r="F79" t="str">
            <v>Taylor, Eldon</v>
          </cell>
          <cell r="G79" t="str">
            <v>NWAGE</v>
          </cell>
          <cell r="H79">
            <v>3.99</v>
          </cell>
          <cell r="I79">
            <v>24</v>
          </cell>
        </row>
        <row r="80">
          <cell r="B80" t="str">
            <v>0201401931980</v>
          </cell>
          <cell r="C80" t="str">
            <v>BEYOND HAPPINESS</v>
          </cell>
          <cell r="D80" t="str">
            <v>r</v>
          </cell>
          <cell r="E80" t="str">
            <v>PB</v>
          </cell>
          <cell r="F80" t="str">
            <v>Kinslow, Frank J</v>
          </cell>
          <cell r="G80" t="str">
            <v>NWAGE</v>
          </cell>
          <cell r="H80">
            <v>3.99</v>
          </cell>
          <cell r="I80">
            <v>24</v>
          </cell>
        </row>
        <row r="81">
          <cell r="B81" t="str">
            <v>0201401935018</v>
          </cell>
          <cell r="C81" t="str">
            <v>ALL IS WELL</v>
          </cell>
          <cell r="D81" t="str">
            <v>R</v>
          </cell>
          <cell r="E81" t="str">
            <v>CL</v>
          </cell>
          <cell r="F81" t="str">
            <v>Hay, Louise ; Schulz, Mona Lisa</v>
          </cell>
          <cell r="G81" t="str">
            <v>NWAGE</v>
          </cell>
          <cell r="H81">
            <v>6.24</v>
          </cell>
          <cell r="I81">
            <v>0</v>
          </cell>
        </row>
        <row r="82">
          <cell r="B82" t="str">
            <v>0201401935025</v>
          </cell>
          <cell r="C82" t="str">
            <v>ALL IS WELL</v>
          </cell>
          <cell r="D82" t="str">
            <v>R</v>
          </cell>
          <cell r="E82" t="str">
            <v>PB</v>
          </cell>
          <cell r="F82" t="str">
            <v>Hay, Louise ; Schulz, Mona Lisa</v>
          </cell>
          <cell r="G82" t="str">
            <v>NWAGE</v>
          </cell>
          <cell r="H82">
            <v>3.99</v>
          </cell>
          <cell r="I82">
            <v>0</v>
          </cell>
        </row>
        <row r="83">
          <cell r="B83" t="str">
            <v>0201401935032</v>
          </cell>
          <cell r="C83" t="str">
            <v>ALL IS WELL</v>
          </cell>
          <cell r="D83" t="str">
            <v>R</v>
          </cell>
          <cell r="E83" t="str">
            <v>CD</v>
          </cell>
          <cell r="F83" t="str">
            <v>Hay, Louise ; Schulz, Mona Lisa</v>
          </cell>
          <cell r="G83" t="str">
            <v>NWAGE</v>
          </cell>
          <cell r="H83">
            <v>7.99</v>
          </cell>
          <cell r="I83">
            <v>0</v>
          </cell>
        </row>
        <row r="84">
          <cell r="B84" t="str">
            <v>0201401935285</v>
          </cell>
          <cell r="C84" t="str">
            <v>THROUGH INDIGO'S EYES</v>
          </cell>
          <cell r="D84" t="str">
            <v>R</v>
          </cell>
          <cell r="E84" t="str">
            <v>pb</v>
          </cell>
          <cell r="F84" t="str">
            <v>Taylor, Tara ; Schultz Nicholson, Lorna</v>
          </cell>
          <cell r="G84" t="str">
            <v>FICT</v>
          </cell>
          <cell r="H84">
            <v>3.99</v>
          </cell>
          <cell r="I84">
            <v>96</v>
          </cell>
        </row>
        <row r="85">
          <cell r="B85" t="str">
            <v>0201401935308</v>
          </cell>
          <cell r="C85" t="str">
            <v>BECOMING INDIGO</v>
          </cell>
          <cell r="D85" t="str">
            <v>R</v>
          </cell>
          <cell r="E85" t="str">
            <v>PB</v>
          </cell>
          <cell r="F85" t="str">
            <v>Taylor, Tara ; Schultz Nicholson, Lorna</v>
          </cell>
          <cell r="G85" t="str">
            <v>FICT</v>
          </cell>
          <cell r="H85">
            <v>3.99</v>
          </cell>
          <cell r="I85">
            <v>0</v>
          </cell>
        </row>
        <row r="86">
          <cell r="B86" t="str">
            <v>0201401935476</v>
          </cell>
          <cell r="C86" t="str">
            <v>BODY ECOLOGY GDE TO GROWING YO</v>
          </cell>
          <cell r="D86" t="str">
            <v>R</v>
          </cell>
          <cell r="E86" t="str">
            <v>PB</v>
          </cell>
          <cell r="F86" t="str">
            <v>Gates, Donna ; Schrecengost, Lyndi</v>
          </cell>
          <cell r="G86" t="str">
            <v>SELF</v>
          </cell>
          <cell r="H86">
            <v>3.99</v>
          </cell>
          <cell r="I86">
            <v>0</v>
          </cell>
        </row>
        <row r="87">
          <cell r="B87" t="str">
            <v>0201401935544</v>
          </cell>
          <cell r="C87" t="str">
            <v>HUNTER/FARMER DIET SOLUTION</v>
          </cell>
          <cell r="D87" t="str">
            <v>R</v>
          </cell>
          <cell r="E87" t="str">
            <v>PB</v>
          </cell>
          <cell r="F87" t="str">
            <v>Liponis, Mark</v>
          </cell>
          <cell r="G87" t="str">
            <v>HEAL</v>
          </cell>
          <cell r="H87">
            <v>2.99</v>
          </cell>
          <cell r="I87">
            <v>120</v>
          </cell>
        </row>
        <row r="88">
          <cell r="B88" t="str">
            <v>0201401936220</v>
          </cell>
          <cell r="C88" t="str">
            <v>POWER OF SELF-HEALING</v>
          </cell>
          <cell r="D88" t="str">
            <v>r</v>
          </cell>
          <cell r="E88" t="str">
            <v>PB</v>
          </cell>
          <cell r="F88" t="str">
            <v>Mancini, Fabrizio</v>
          </cell>
          <cell r="G88" t="str">
            <v>SELF</v>
          </cell>
          <cell r="H88">
            <v>2.99</v>
          </cell>
          <cell r="I88">
            <v>19</v>
          </cell>
        </row>
        <row r="89">
          <cell r="B89" t="str">
            <v>0201401936275</v>
          </cell>
          <cell r="C89" t="str">
            <v>DON'T DIE WITH YOUR MUSIC STIL</v>
          </cell>
          <cell r="D89" t="str">
            <v>R</v>
          </cell>
          <cell r="E89" t="str">
            <v>PB</v>
          </cell>
          <cell r="F89" t="str">
            <v>Dyer, Serena J. ; Dyer, Wayne W.</v>
          </cell>
          <cell r="G89" t="str">
            <v>SELF</v>
          </cell>
          <cell r="H89">
            <v>2.99</v>
          </cell>
          <cell r="I89">
            <v>144</v>
          </cell>
        </row>
        <row r="90">
          <cell r="B90" t="str">
            <v>0201401937159</v>
          </cell>
          <cell r="C90" t="str">
            <v>AGING CURE</v>
          </cell>
          <cell r="D90" t="str">
            <v>R</v>
          </cell>
          <cell r="E90" t="str">
            <v>SB</v>
          </cell>
          <cell r="F90" t="str">
            <v>Cruise, Jorge</v>
          </cell>
          <cell r="G90" t="str">
            <v>HEAL</v>
          </cell>
          <cell r="H90">
            <v>4.99</v>
          </cell>
          <cell r="I90">
            <v>0</v>
          </cell>
        </row>
        <row r="91">
          <cell r="B91" t="str">
            <v>0201401937579</v>
          </cell>
          <cell r="C91" t="str">
            <v>WISHES FULFILLED</v>
          </cell>
          <cell r="D91" t="str">
            <v>R</v>
          </cell>
          <cell r="E91" t="str">
            <v>DV</v>
          </cell>
          <cell r="F91" t="str">
            <v>Dyer, Wayne W.</v>
          </cell>
          <cell r="G91" t="str">
            <v>SELF</v>
          </cell>
          <cell r="H91">
            <v>5</v>
          </cell>
          <cell r="I91">
            <v>60</v>
          </cell>
        </row>
        <row r="92">
          <cell r="B92" t="str">
            <v>0201401937944</v>
          </cell>
          <cell r="C92" t="str">
            <v>UNITED BREAKS GUITARS</v>
          </cell>
          <cell r="D92" t="str">
            <v>R</v>
          </cell>
          <cell r="E92" t="str">
            <v>PB</v>
          </cell>
          <cell r="F92" t="str">
            <v>Carroll, Dave</v>
          </cell>
          <cell r="G92" t="str">
            <v>SELF</v>
          </cell>
          <cell r="H92">
            <v>3.99</v>
          </cell>
          <cell r="I92">
            <v>0</v>
          </cell>
        </row>
        <row r="93">
          <cell r="B93" t="str">
            <v>0201401938248</v>
          </cell>
          <cell r="C93" t="str">
            <v>MINDFUL EATING</v>
          </cell>
          <cell r="D93" t="str">
            <v>R</v>
          </cell>
          <cell r="E93" t="str">
            <v>PB</v>
          </cell>
          <cell r="F93" t="str">
            <v>Miraval</v>
          </cell>
          <cell r="G93" t="str">
            <v>COOK</v>
          </cell>
          <cell r="H93">
            <v>4.5</v>
          </cell>
          <cell r="I93">
            <v>0</v>
          </cell>
        </row>
        <row r="94">
          <cell r="B94" t="str">
            <v>0201401938774</v>
          </cell>
          <cell r="C94" t="str">
            <v>QUEST</v>
          </cell>
          <cell r="D94" t="str">
            <v>R</v>
          </cell>
          <cell r="E94" t="str">
            <v>PB</v>
          </cell>
          <cell r="F94" t="str">
            <v>Linn, Denise ; Linn, Meadow</v>
          </cell>
          <cell r="G94" t="str">
            <v>NWAGE</v>
          </cell>
          <cell r="H94">
            <v>3.99</v>
          </cell>
          <cell r="I94">
            <v>0</v>
          </cell>
        </row>
        <row r="95">
          <cell r="B95" t="str">
            <v>0201401938941</v>
          </cell>
          <cell r="C95" t="str">
            <v>ENTANGLED IN DARKNESS</v>
          </cell>
          <cell r="D95" t="str">
            <v>R</v>
          </cell>
          <cell r="E95" t="str">
            <v>CL</v>
          </cell>
          <cell r="F95" t="str">
            <v>King, Deborah</v>
          </cell>
          <cell r="G95" t="str">
            <v>NWAGE</v>
          </cell>
          <cell r="H95">
            <v>3.99</v>
          </cell>
          <cell r="I95">
            <v>204</v>
          </cell>
        </row>
        <row r="96">
          <cell r="B96" t="str">
            <v>0201401939825</v>
          </cell>
          <cell r="C96" t="str">
            <v>TAKE 2 </v>
          </cell>
          <cell r="D96" t="str">
            <v>R</v>
          </cell>
          <cell r="E96" t="str">
            <v>PB</v>
          </cell>
          <cell r="F96" t="str">
            <v>Gibbons, Leeza</v>
          </cell>
          <cell r="G96" t="str">
            <v>SELF</v>
          </cell>
          <cell r="H96">
            <v>2.99</v>
          </cell>
          <cell r="I96">
            <v>142</v>
          </cell>
        </row>
        <row r="97">
          <cell r="B97" t="str">
            <v>0201401940388</v>
          </cell>
          <cell r="C97" t="str">
            <v>HEALING WITH RAW FOODS</v>
          </cell>
          <cell r="D97" t="str">
            <v>r</v>
          </cell>
          <cell r="E97" t="str">
            <v>PB</v>
          </cell>
          <cell r="F97" t="str">
            <v>Ross, Jenny</v>
          </cell>
          <cell r="G97" t="str">
            <v>COOK</v>
          </cell>
          <cell r="H97">
            <v>5</v>
          </cell>
          <cell r="I97">
            <v>0</v>
          </cell>
        </row>
        <row r="98">
          <cell r="B98" t="str">
            <v>0201401940500</v>
          </cell>
          <cell r="C98" t="str">
            <v>BELLY FAT CURE SUGAR &amp; CARB CO</v>
          </cell>
          <cell r="D98" t="str">
            <v>R</v>
          </cell>
          <cell r="E98" t="str">
            <v>PB</v>
          </cell>
          <cell r="F98" t="str">
            <v>Cruise, Jorge</v>
          </cell>
          <cell r="G98" t="str">
            <v>HEAL</v>
          </cell>
          <cell r="H98">
            <v>0.99</v>
          </cell>
          <cell r="I98">
            <v>67</v>
          </cell>
        </row>
        <row r="99">
          <cell r="B99" t="str">
            <v>0201401940616</v>
          </cell>
          <cell r="C99" t="str">
            <v>IF YOU CAN SEE IT, YOU CAN BE </v>
          </cell>
          <cell r="D99" t="str">
            <v>R</v>
          </cell>
          <cell r="E99" t="str">
            <v>PB</v>
          </cell>
          <cell r="F99" t="str">
            <v>Henderson, Jeff</v>
          </cell>
          <cell r="G99" t="str">
            <v>SELF</v>
          </cell>
          <cell r="H99">
            <v>2.99</v>
          </cell>
          <cell r="I99">
            <v>100</v>
          </cell>
        </row>
        <row r="100">
          <cell r="B100" t="str">
            <v>0201401940630</v>
          </cell>
          <cell r="C100" t="str">
            <v>RICH AND THE REST OF US</v>
          </cell>
          <cell r="D100" t="str">
            <v>R</v>
          </cell>
          <cell r="E100" t="str">
            <v>PB</v>
          </cell>
          <cell r="F100" t="str">
            <v>Smiley, Tavis ; West, Cornel</v>
          </cell>
          <cell r="G100" t="str">
            <v>PHILO</v>
          </cell>
          <cell r="H100">
            <v>2.99</v>
          </cell>
          <cell r="I100">
            <v>0</v>
          </cell>
        </row>
        <row r="101">
          <cell r="B101" t="str">
            <v>0201401941026</v>
          </cell>
          <cell r="C101" t="str">
            <v>SECOND RULE OF TEN</v>
          </cell>
          <cell r="D101" t="str">
            <v>R</v>
          </cell>
          <cell r="E101" t="str">
            <v>PB</v>
          </cell>
          <cell r="F101" t="str">
            <v>Lindsay, Tinker</v>
          </cell>
          <cell r="G101" t="str">
            <v>FICT</v>
          </cell>
          <cell r="H101">
            <v>3.99</v>
          </cell>
          <cell r="I101">
            <v>0</v>
          </cell>
        </row>
        <row r="102">
          <cell r="B102" t="str">
            <v>0201401941088</v>
          </cell>
          <cell r="C102" t="str">
            <v>ARCHETYPES</v>
          </cell>
          <cell r="D102" t="str">
            <v>R</v>
          </cell>
          <cell r="E102" t="str">
            <v>CL</v>
          </cell>
          <cell r="F102" t="str">
            <v>Myss, Caroline</v>
          </cell>
          <cell r="G102" t="str">
            <v>NWAGE</v>
          </cell>
          <cell r="H102">
            <v>4.99</v>
          </cell>
          <cell r="I102">
            <v>74</v>
          </cell>
        </row>
        <row r="103">
          <cell r="B103" t="str">
            <v>0201401941231</v>
          </cell>
          <cell r="C103" t="str">
            <v>FOR THE SENDER: LOVE IS (NOT A</v>
          </cell>
          <cell r="D103" t="str">
            <v>R</v>
          </cell>
          <cell r="E103" t="str">
            <v>BI</v>
          </cell>
          <cell r="F103" t="str">
            <v>Woodard, Alex</v>
          </cell>
          <cell r="G103" t="str">
            <v>BIOG</v>
          </cell>
          <cell r="H103">
            <v>4.99</v>
          </cell>
          <cell r="I103">
            <v>0</v>
          </cell>
        </row>
        <row r="104">
          <cell r="B104" t="str">
            <v>0201401941484</v>
          </cell>
          <cell r="C104" t="str">
            <v>PLANTPLUS DIET SOLUTION</v>
          </cell>
          <cell r="D104" t="str">
            <v>R</v>
          </cell>
          <cell r="E104" t="str">
            <v>CL</v>
          </cell>
          <cell r="F104" t="str">
            <v>Borysenko, Joan</v>
          </cell>
          <cell r="G104" t="str">
            <v>HEAL</v>
          </cell>
          <cell r="H104">
            <v>4.99</v>
          </cell>
          <cell r="I104">
            <v>96</v>
          </cell>
        </row>
        <row r="105">
          <cell r="B105" t="str">
            <v>0201401941828</v>
          </cell>
          <cell r="C105" t="str">
            <v>MANIFEST MOMENT TO MOMENT</v>
          </cell>
          <cell r="D105" t="str">
            <v>R</v>
          </cell>
          <cell r="E105" t="str">
            <v>PB</v>
          </cell>
          <cell r="F105" t="str">
            <v>Tejpal ; McLaughlin, Carrol</v>
          </cell>
          <cell r="G105" t="str">
            <v>SELF</v>
          </cell>
          <cell r="H105">
            <v>2.99</v>
          </cell>
          <cell r="I105">
            <v>107</v>
          </cell>
        </row>
        <row r="106">
          <cell r="B106" t="str">
            <v>0201401942092</v>
          </cell>
          <cell r="C106" t="str">
            <v>NOT MY CHILD</v>
          </cell>
          <cell r="D106" t="str">
            <v>R</v>
          </cell>
          <cell r="E106" t="str">
            <v>CL</v>
          </cell>
          <cell r="F106" t="str">
            <v>Lawlis, Frank</v>
          </cell>
          <cell r="G106" t="str">
            <v>FAMI</v>
          </cell>
          <cell r="H106">
            <v>4.99</v>
          </cell>
          <cell r="I106">
            <v>48</v>
          </cell>
        </row>
        <row r="107">
          <cell r="B107" t="str">
            <v>0201401942108</v>
          </cell>
          <cell r="C107" t="str">
            <v>NOT MY CHILD</v>
          </cell>
          <cell r="D107" t="str">
            <v>r</v>
          </cell>
          <cell r="E107" t="str">
            <v>PB</v>
          </cell>
          <cell r="F107" t="str">
            <v>Lawlis, Frank</v>
          </cell>
          <cell r="G107" t="str">
            <v>FAMI</v>
          </cell>
          <cell r="H107">
            <v>3.75</v>
          </cell>
          <cell r="I107">
            <v>24</v>
          </cell>
        </row>
        <row r="108">
          <cell r="B108" t="str">
            <v>0201401942177</v>
          </cell>
          <cell r="C108" t="str">
            <v>HEART OF MIRACLES</v>
          </cell>
          <cell r="D108" t="str">
            <v>R</v>
          </cell>
          <cell r="E108" t="str">
            <v>CL</v>
          </cell>
          <cell r="F108" t="str">
            <v>Henson Jones, Karen</v>
          </cell>
          <cell r="G108" t="str">
            <v>BIOG</v>
          </cell>
          <cell r="H108">
            <v>5</v>
          </cell>
          <cell r="I108">
            <v>0</v>
          </cell>
        </row>
        <row r="109">
          <cell r="B109" t="str">
            <v>0201401942276</v>
          </cell>
          <cell r="C109" t="str">
            <v>DAILY LOVE</v>
          </cell>
          <cell r="D109" t="str">
            <v>R</v>
          </cell>
          <cell r="E109" t="str">
            <v>CL</v>
          </cell>
          <cell r="F109" t="str">
            <v>Kipp, Mastin</v>
          </cell>
          <cell r="G109" t="str">
            <v>SELF</v>
          </cell>
          <cell r="H109">
            <v>4.99</v>
          </cell>
          <cell r="I109">
            <v>168</v>
          </cell>
        </row>
        <row r="110">
          <cell r="B110" t="str">
            <v>0201401942283</v>
          </cell>
          <cell r="C110" t="str">
            <v>DAILY LOVE</v>
          </cell>
          <cell r="D110" t="str">
            <v>R</v>
          </cell>
          <cell r="E110" t="str">
            <v>PB</v>
          </cell>
          <cell r="F110" t="str">
            <v>Kipp, Mastin</v>
          </cell>
          <cell r="G110" t="str">
            <v>SELF</v>
          </cell>
          <cell r="H110">
            <v>3.99</v>
          </cell>
          <cell r="I110">
            <v>216</v>
          </cell>
        </row>
        <row r="111">
          <cell r="B111" t="str">
            <v>0201401942467</v>
          </cell>
          <cell r="C111" t="str">
            <v>TALKRX</v>
          </cell>
          <cell r="D111" t="str">
            <v>R</v>
          </cell>
          <cell r="E111" t="str">
            <v>CL</v>
          </cell>
          <cell r="F111" t="str">
            <v>Sangwan, Neha</v>
          </cell>
          <cell r="G111" t="str">
            <v>SELF</v>
          </cell>
          <cell r="H111">
            <v>5.99</v>
          </cell>
          <cell r="I111">
            <v>155</v>
          </cell>
        </row>
        <row r="112">
          <cell r="B112" t="str">
            <v>0201401942481</v>
          </cell>
          <cell r="C112" t="str">
            <v>TALKRX</v>
          </cell>
          <cell r="D112" t="str">
            <v>R</v>
          </cell>
          <cell r="E112" t="str">
            <v>PB</v>
          </cell>
          <cell r="F112" t="str">
            <v>Sangwan, Neha</v>
          </cell>
          <cell r="G112" t="str">
            <v>SELF</v>
          </cell>
          <cell r="H112">
            <v>3.99</v>
          </cell>
          <cell r="I112">
            <v>120</v>
          </cell>
        </row>
        <row r="113">
          <cell r="B113" t="str">
            <v>0201401942641</v>
          </cell>
          <cell r="C113" t="str">
            <v>LIVING BLISS</v>
          </cell>
          <cell r="D113" t="str">
            <v>R</v>
          </cell>
          <cell r="E113" t="str">
            <v>PB</v>
          </cell>
          <cell r="F113" t="str">
            <v>Shealy, C. Norman ; Myss, Caroline</v>
          </cell>
          <cell r="G113" t="str">
            <v>SELF</v>
          </cell>
          <cell r="H113">
            <v>2.99</v>
          </cell>
          <cell r="I113">
            <v>72</v>
          </cell>
        </row>
        <row r="114">
          <cell r="B114" t="str">
            <v>0201401942740</v>
          </cell>
          <cell r="C114" t="str">
            <v>IS IT ME OR MY HORMONES?</v>
          </cell>
          <cell r="D114" t="str">
            <v>R</v>
          </cell>
          <cell r="E114" t="str">
            <v>CL</v>
          </cell>
          <cell r="F114" t="str">
            <v>Pick, Marcelle</v>
          </cell>
          <cell r="G114" t="str">
            <v>HEAL</v>
          </cell>
          <cell r="H114">
            <v>6.99</v>
          </cell>
          <cell r="I114">
            <v>0</v>
          </cell>
        </row>
        <row r="115">
          <cell r="B115" t="str">
            <v>0201401942764</v>
          </cell>
          <cell r="C115" t="str">
            <v>IS IT ME OR MY HORMONES?</v>
          </cell>
          <cell r="D115" t="str">
            <v>R</v>
          </cell>
          <cell r="E115" t="str">
            <v>PB</v>
          </cell>
          <cell r="F115" t="str">
            <v>Pick, Marcelle</v>
          </cell>
          <cell r="G115" t="str">
            <v>HEAL</v>
          </cell>
          <cell r="H115">
            <v>3.99</v>
          </cell>
          <cell r="I115">
            <v>216</v>
          </cell>
        </row>
        <row r="116">
          <cell r="B116" t="str">
            <v>0201401942849</v>
          </cell>
          <cell r="C116" t="str">
            <v>LOVING YOURSELF TO GREAT HEALT</v>
          </cell>
          <cell r="D116" t="str">
            <v>R</v>
          </cell>
          <cell r="E116" t="str">
            <v>CL</v>
          </cell>
          <cell r="F116" t="str">
            <v>Hay, Louise ; Khadro, Ahlea ; Dane, Heather</v>
          </cell>
          <cell r="G116" t="str">
            <v>HEAL</v>
          </cell>
          <cell r="H116">
            <v>4.99</v>
          </cell>
          <cell r="I116">
            <v>238</v>
          </cell>
        </row>
        <row r="117">
          <cell r="B117" t="str">
            <v>0201401942870</v>
          </cell>
          <cell r="C117" t="str">
            <v>IS IT ME OR MY ADRENALS?</v>
          </cell>
          <cell r="D117" t="str">
            <v>R</v>
          </cell>
          <cell r="E117" t="str">
            <v>PB</v>
          </cell>
          <cell r="F117" t="str">
            <v>Pick, Marcelle</v>
          </cell>
          <cell r="G117" t="str">
            <v>HEAL</v>
          </cell>
          <cell r="H117">
            <v>3.99</v>
          </cell>
          <cell r="I117">
            <v>48</v>
          </cell>
        </row>
        <row r="118">
          <cell r="B118" t="str">
            <v>0201401942894</v>
          </cell>
          <cell r="C118" t="str">
            <v>CORE BALANCE DIET</v>
          </cell>
          <cell r="D118" t="str">
            <v>R</v>
          </cell>
          <cell r="E118" t="str">
            <v>PB</v>
          </cell>
          <cell r="F118" t="str">
            <v>Pick, Marcelle</v>
          </cell>
          <cell r="G118" t="str">
            <v>HEAL</v>
          </cell>
          <cell r="H118">
            <v>4.99</v>
          </cell>
          <cell r="I118">
            <v>0</v>
          </cell>
        </row>
        <row r="119">
          <cell r="B119" t="str">
            <v>0201401942979</v>
          </cell>
          <cell r="C119" t="str">
            <v>SHIFT HAPPENS!</v>
          </cell>
          <cell r="D119" t="str">
            <v>R</v>
          </cell>
          <cell r="E119" t="str">
            <v>DV</v>
          </cell>
          <cell r="F119" t="str">
            <v>Holden, Robert</v>
          </cell>
          <cell r="G119" t="str">
            <v>SELF</v>
          </cell>
          <cell r="H119">
            <v>4.99</v>
          </cell>
          <cell r="I119">
            <v>371</v>
          </cell>
        </row>
        <row r="120">
          <cell r="B120" t="str">
            <v>0201401943013</v>
          </cell>
          <cell r="C120" t="str">
            <v>SECRET FEMALE HORMONE</v>
          </cell>
          <cell r="D120" t="str">
            <v>R</v>
          </cell>
          <cell r="E120" t="str">
            <v>CL</v>
          </cell>
          <cell r="F120" t="str">
            <v>Maupin, Kathy C.</v>
          </cell>
          <cell r="G120" t="str">
            <v>HEAL</v>
          </cell>
          <cell r="H120">
            <v>4.99</v>
          </cell>
          <cell r="I120">
            <v>55</v>
          </cell>
        </row>
        <row r="121">
          <cell r="B121" t="str">
            <v>0201401943044</v>
          </cell>
          <cell r="C121" t="str">
            <v>AFFORMATIONS</v>
          </cell>
          <cell r="D121" t="str">
            <v>R</v>
          </cell>
          <cell r="E121" t="str">
            <v>PB</v>
          </cell>
          <cell r="F121" t="str">
            <v>St. John, Noah ; Assaraf, John</v>
          </cell>
          <cell r="G121" t="str">
            <v>SELF</v>
          </cell>
          <cell r="H121">
            <v>2.99</v>
          </cell>
          <cell r="I121">
            <v>168</v>
          </cell>
        </row>
        <row r="122">
          <cell r="B122" t="str">
            <v>0201401943051</v>
          </cell>
          <cell r="C122" t="str">
            <v>ANGEL ASTROLOGY 101</v>
          </cell>
          <cell r="D122" t="str">
            <v>R</v>
          </cell>
          <cell r="E122" t="str">
            <v>CL</v>
          </cell>
          <cell r="F122" t="str">
            <v>Virtue, Doreen ; Boland, Yasmin</v>
          </cell>
          <cell r="G122" t="str">
            <v>NWAGE</v>
          </cell>
          <cell r="H122">
            <v>4.99</v>
          </cell>
          <cell r="I122">
            <v>0</v>
          </cell>
        </row>
        <row r="123">
          <cell r="B123" t="str">
            <v>0201401943280</v>
          </cell>
          <cell r="C123" t="str">
            <v>HOME IN HARMONY</v>
          </cell>
          <cell r="D123" t="str">
            <v>R</v>
          </cell>
          <cell r="E123" t="str">
            <v>PB</v>
          </cell>
          <cell r="F123" t="str">
            <v>O'Leary, Christa</v>
          </cell>
          <cell r="G123" t="str">
            <v>SELF</v>
          </cell>
          <cell r="H123">
            <v>2.99</v>
          </cell>
          <cell r="I123">
            <v>135</v>
          </cell>
        </row>
        <row r="124">
          <cell r="B124" t="str">
            <v>0201401943303</v>
          </cell>
          <cell r="C124" t="str">
            <v>HAPPY HORMONES, SLIM BELLY</v>
          </cell>
          <cell r="D124" t="str">
            <v>R</v>
          </cell>
          <cell r="E124" t="str">
            <v>PB</v>
          </cell>
          <cell r="F124" t="str">
            <v>Cruise, Jorge</v>
          </cell>
          <cell r="G124" t="str">
            <v>HEAL</v>
          </cell>
          <cell r="H124">
            <v>5</v>
          </cell>
          <cell r="I124">
            <v>264</v>
          </cell>
        </row>
        <row r="125">
          <cell r="B125" t="str">
            <v>0201401943365</v>
          </cell>
          <cell r="C125" t="str">
            <v>HOW TO HEAL A GRIEVING HEART</v>
          </cell>
          <cell r="D125" t="str">
            <v>r</v>
          </cell>
          <cell r="E125" t="str">
            <v>CL</v>
          </cell>
          <cell r="F125" t="str">
            <v>Virtue, Doreen ; Van Praagh, James</v>
          </cell>
          <cell r="G125" t="str">
            <v>NWAGE</v>
          </cell>
          <cell r="H125">
            <v>3.99</v>
          </cell>
          <cell r="I125">
            <v>36</v>
          </cell>
        </row>
        <row r="126">
          <cell r="B126" t="str">
            <v>0201401943396</v>
          </cell>
          <cell r="C126" t="str">
            <v>CHOICES AND ILLUSIONS</v>
          </cell>
          <cell r="D126" t="str">
            <v>R</v>
          </cell>
          <cell r="E126" t="str">
            <v>PB</v>
          </cell>
          <cell r="F126" t="str">
            <v>Taylor, Eldon</v>
          </cell>
          <cell r="G126" t="str">
            <v>SELF</v>
          </cell>
          <cell r="H126">
            <v>3.99</v>
          </cell>
          <cell r="I126">
            <v>25</v>
          </cell>
        </row>
        <row r="127">
          <cell r="B127" t="str">
            <v>0201401943617</v>
          </cell>
          <cell r="C127" t="str">
            <v>FORGIVENESS</v>
          </cell>
          <cell r="D127" t="str">
            <v>R</v>
          </cell>
          <cell r="E127" t="str">
            <v>CL</v>
          </cell>
          <cell r="F127" t="str">
            <v>Vanzant, Iyanla</v>
          </cell>
          <cell r="G127" t="str">
            <v>SELF</v>
          </cell>
          <cell r="H127">
            <v>4.49</v>
          </cell>
          <cell r="I127">
            <v>0</v>
          </cell>
        </row>
        <row r="128">
          <cell r="B128" t="str">
            <v>0201401943921</v>
          </cell>
          <cell r="C128" t="str">
            <v>LIGHT BULB MOMENTS</v>
          </cell>
          <cell r="D128" t="str">
            <v>R</v>
          </cell>
          <cell r="E128" t="str">
            <v>PB</v>
          </cell>
          <cell r="F128" t="str">
            <v>Stovall, Talayah ; Brown, Les</v>
          </cell>
          <cell r="G128" t="str">
            <v>SELF</v>
          </cell>
          <cell r="H128">
            <v>3.99</v>
          </cell>
          <cell r="I128">
            <v>112</v>
          </cell>
        </row>
        <row r="129">
          <cell r="B129" t="str">
            <v>0201401944058</v>
          </cell>
          <cell r="C129" t="str">
            <v>I CAN SEE CLEARLY NOW</v>
          </cell>
          <cell r="D129" t="str">
            <v>R</v>
          </cell>
          <cell r="E129" t="str">
            <v>CD</v>
          </cell>
          <cell r="F129" t="str">
            <v>Dyer, Wayne W.</v>
          </cell>
          <cell r="G129" t="str">
            <v>SELF</v>
          </cell>
          <cell r="H129">
            <v>7.99</v>
          </cell>
          <cell r="I129">
            <v>30</v>
          </cell>
        </row>
        <row r="130">
          <cell r="B130" t="str">
            <v>0201401944072</v>
          </cell>
          <cell r="C130" t="str">
            <v>WAY OF THE HAMMOCK</v>
          </cell>
          <cell r="D130" t="str">
            <v>R</v>
          </cell>
          <cell r="E130" t="str">
            <v>PB</v>
          </cell>
          <cell r="F130" t="str">
            <v>Odahowski, Marga</v>
          </cell>
          <cell r="G130" t="str">
            <v>SELF</v>
          </cell>
          <cell r="H130">
            <v>3.99</v>
          </cell>
          <cell r="I130">
            <v>336</v>
          </cell>
        </row>
        <row r="131">
          <cell r="B131" t="str">
            <v>0201401944119</v>
          </cell>
          <cell r="C131" t="str">
            <v>LIVING PAIN-FREE</v>
          </cell>
          <cell r="D131" t="str">
            <v>R</v>
          </cell>
          <cell r="E131" t="str">
            <v>CL</v>
          </cell>
          <cell r="F131" t="str">
            <v>Virtue, Doreen ; Reeves, Robert</v>
          </cell>
          <cell r="G131" t="str">
            <v>SELF</v>
          </cell>
          <cell r="H131">
            <v>3.99</v>
          </cell>
          <cell r="I131">
            <v>252</v>
          </cell>
        </row>
        <row r="132">
          <cell r="B132" t="str">
            <v>0201401944140</v>
          </cell>
          <cell r="C132" t="str">
            <v>BOOK OF AFFORMATIONS</v>
          </cell>
          <cell r="D132" t="str">
            <v>R</v>
          </cell>
          <cell r="E132" t="str">
            <v>CL</v>
          </cell>
          <cell r="F132" t="str">
            <v>St. John, Noah ; Assaraf, John</v>
          </cell>
          <cell r="G132" t="str">
            <v>SELF</v>
          </cell>
          <cell r="H132">
            <v>4.99</v>
          </cell>
          <cell r="I132">
            <v>116</v>
          </cell>
        </row>
        <row r="133">
          <cell r="B133" t="str">
            <v>0201401944195</v>
          </cell>
          <cell r="C133" t="str">
            <v>ESSENTIAL LOUISE HAY COLLECTIO</v>
          </cell>
          <cell r="D133" t="str">
            <v>R</v>
          </cell>
          <cell r="E133" t="str">
            <v>CL</v>
          </cell>
          <cell r="F133" t="str">
            <v>Hay, Louise</v>
          </cell>
          <cell r="G133" t="str">
            <v>SELF</v>
          </cell>
          <cell r="H133">
            <v>7.49</v>
          </cell>
          <cell r="I133">
            <v>0</v>
          </cell>
        </row>
        <row r="134">
          <cell r="B134" t="str">
            <v>0201401944201</v>
          </cell>
          <cell r="C134" t="str">
            <v>ESSENTIAL LAW OF ATTRACTION CO</v>
          </cell>
          <cell r="D134" t="str">
            <v>R</v>
          </cell>
          <cell r="E134" t="str">
            <v>CL</v>
          </cell>
          <cell r="F134" t="str">
            <v>Hicks, Esther ; Hicks, Jerry</v>
          </cell>
          <cell r="G134" t="str">
            <v>NWAGE</v>
          </cell>
          <cell r="H134">
            <v>7.49</v>
          </cell>
          <cell r="I134">
            <v>0</v>
          </cell>
        </row>
        <row r="135">
          <cell r="B135" t="str">
            <v>0201401944225</v>
          </cell>
          <cell r="C135" t="str">
            <v>ESSENTIAL WAYNE DYER COLLECTIO</v>
          </cell>
          <cell r="D135" t="str">
            <v>R</v>
          </cell>
          <cell r="E135" t="str">
            <v>CL</v>
          </cell>
          <cell r="F135" t="str">
            <v>Dyer, Wayne W</v>
          </cell>
          <cell r="G135" t="str">
            <v>SELF</v>
          </cell>
          <cell r="H135">
            <v>7.49</v>
          </cell>
          <cell r="I135">
            <v>0</v>
          </cell>
        </row>
        <row r="136">
          <cell r="B136" t="str">
            <v>0201401944232</v>
          </cell>
          <cell r="C136" t="str">
            <v>NURTURING HEALING LOVE</v>
          </cell>
          <cell r="D136" t="str">
            <v>R</v>
          </cell>
          <cell r="E136" t="str">
            <v>CL</v>
          </cell>
          <cell r="F136" t="str">
            <v>Lewis, Scarlett ; Stoynoff, Natasha</v>
          </cell>
          <cell r="G136" t="str">
            <v>BIOG</v>
          </cell>
          <cell r="H136">
            <v>3.99</v>
          </cell>
          <cell r="I136">
            <v>29</v>
          </cell>
        </row>
        <row r="137">
          <cell r="B137" t="str">
            <v>0201401944256</v>
          </cell>
          <cell r="C137" t="str">
            <v>ESSENTIAL DOREEN VIRTUE COLLEC</v>
          </cell>
          <cell r="D137" t="str">
            <v>R</v>
          </cell>
          <cell r="E137" t="str">
            <v>CL</v>
          </cell>
          <cell r="F137" t="str">
            <v>Virtue, Doreen</v>
          </cell>
          <cell r="G137" t="str">
            <v>NWAGE</v>
          </cell>
          <cell r="H137">
            <v>5.99</v>
          </cell>
          <cell r="I137">
            <v>183</v>
          </cell>
        </row>
        <row r="138">
          <cell r="B138" t="str">
            <v>0201401944317</v>
          </cell>
          <cell r="C138" t="str">
            <v>ANGEL DETOX</v>
          </cell>
          <cell r="D138" t="str">
            <v>R</v>
          </cell>
          <cell r="E138" t="str">
            <v>CL</v>
          </cell>
          <cell r="F138" t="str">
            <v>Virtue, Doreen ; Reeves, Robert</v>
          </cell>
          <cell r="G138" t="str">
            <v>NWAGE</v>
          </cell>
          <cell r="H138">
            <v>4.99</v>
          </cell>
          <cell r="I138">
            <v>36</v>
          </cell>
        </row>
        <row r="139">
          <cell r="B139" t="str">
            <v>0201401944348</v>
          </cell>
          <cell r="C139" t="str">
            <v>MIRACLES NOW</v>
          </cell>
          <cell r="D139" t="str">
            <v>R</v>
          </cell>
          <cell r="E139" t="str">
            <v>CL</v>
          </cell>
          <cell r="F139" t="str">
            <v>Bernstein, Gabrielle</v>
          </cell>
          <cell r="G139" t="str">
            <v>SELF</v>
          </cell>
          <cell r="H139">
            <v>6.24</v>
          </cell>
          <cell r="I139">
            <v>0</v>
          </cell>
        </row>
        <row r="140">
          <cell r="B140" t="str">
            <v>0201401944355</v>
          </cell>
          <cell r="C140" t="str">
            <v>MAKE YOUR OWN RULES DIET</v>
          </cell>
          <cell r="D140" t="str">
            <v>r</v>
          </cell>
          <cell r="E140" t="str">
            <v>CL</v>
          </cell>
          <cell r="F140" t="str">
            <v>Stiles, Tara</v>
          </cell>
          <cell r="G140" t="str">
            <v>HEAL</v>
          </cell>
          <cell r="H140">
            <v>6.25</v>
          </cell>
          <cell r="I140">
            <v>0</v>
          </cell>
        </row>
        <row r="141">
          <cell r="B141" t="str">
            <v>0201401944362</v>
          </cell>
          <cell r="C141" t="str">
            <v>MAKE YOUR OWN RULES COOKBOOK</v>
          </cell>
          <cell r="D141" t="str">
            <v>R</v>
          </cell>
          <cell r="E141" t="str">
            <v>CL</v>
          </cell>
          <cell r="F141" t="str">
            <v>Stiles, Tara</v>
          </cell>
          <cell r="G141" t="str">
            <v>COOK</v>
          </cell>
          <cell r="H141">
            <v>5.99</v>
          </cell>
          <cell r="I141">
            <v>1438</v>
          </cell>
        </row>
        <row r="142">
          <cell r="B142" t="str">
            <v>0201401944515</v>
          </cell>
          <cell r="C142" t="str">
            <v>WALKING HOME</v>
          </cell>
          <cell r="D142" t="str">
            <v>R</v>
          </cell>
          <cell r="E142" t="str">
            <v>CL</v>
          </cell>
          <cell r="F142" t="str">
            <v>Choquette, Sonia</v>
          </cell>
          <cell r="G142" t="str">
            <v>BIOG</v>
          </cell>
          <cell r="H142">
            <v>6.75</v>
          </cell>
          <cell r="I142">
            <v>0</v>
          </cell>
        </row>
        <row r="143">
          <cell r="B143" t="str">
            <v>0201401944539</v>
          </cell>
          <cell r="C143" t="str">
            <v>UPLIFTING PRAYERS TO LIGHT YOU</v>
          </cell>
          <cell r="D143" t="str">
            <v>R</v>
          </cell>
          <cell r="E143" t="str">
            <v>CL</v>
          </cell>
          <cell r="F143" t="str">
            <v>Choquette, Sonia</v>
          </cell>
          <cell r="G143" t="str">
            <v>NWAGE</v>
          </cell>
          <cell r="H143">
            <v>5</v>
          </cell>
          <cell r="I143">
            <v>300</v>
          </cell>
        </row>
        <row r="144">
          <cell r="B144" t="str">
            <v>0201401944638</v>
          </cell>
          <cell r="C144" t="str">
            <v>MAKE YOUR OWN RULES DIET</v>
          </cell>
          <cell r="D144" t="str">
            <v>R</v>
          </cell>
          <cell r="E144" t="str">
            <v>PB</v>
          </cell>
          <cell r="F144" t="str">
            <v>Stiles, Tara</v>
          </cell>
          <cell r="G144" t="str">
            <v>HEAL</v>
          </cell>
          <cell r="H144">
            <v>3.99</v>
          </cell>
          <cell r="I144">
            <v>384</v>
          </cell>
        </row>
        <row r="145">
          <cell r="B145" t="str">
            <v>0201401944706</v>
          </cell>
          <cell r="C145" t="str">
            <v>ADVENTURES OF THE SOUL</v>
          </cell>
          <cell r="D145" t="str">
            <v>R</v>
          </cell>
          <cell r="E145" t="str">
            <v>CL</v>
          </cell>
          <cell r="F145" t="str">
            <v>Van Praagh, James</v>
          </cell>
          <cell r="G145" t="str">
            <v>NWAGE</v>
          </cell>
          <cell r="H145">
            <v>5</v>
          </cell>
          <cell r="I145">
            <v>0</v>
          </cell>
        </row>
        <row r="146">
          <cell r="B146" t="str">
            <v>0201401944775</v>
          </cell>
          <cell r="C146" t="str">
            <v>DAILY LOVE</v>
          </cell>
          <cell r="D146" t="str">
            <v>R</v>
          </cell>
          <cell r="E146" t="str">
            <v>CD</v>
          </cell>
          <cell r="F146" t="str">
            <v>Kipp, Mastin</v>
          </cell>
          <cell r="G146" t="str">
            <v>SELF</v>
          </cell>
          <cell r="H146">
            <v>5.99</v>
          </cell>
          <cell r="I146">
            <v>60</v>
          </cell>
        </row>
        <row r="147">
          <cell r="B147" t="str">
            <v>0201401945109</v>
          </cell>
          <cell r="C147" t="str">
            <v>HOLY SHIFT!</v>
          </cell>
          <cell r="D147" t="str">
            <v>R</v>
          </cell>
          <cell r="E147" t="str">
            <v>CL</v>
          </cell>
          <cell r="F147" t="str">
            <v>Holden, Robert</v>
          </cell>
          <cell r="G147" t="str">
            <v>SELF</v>
          </cell>
          <cell r="H147">
            <v>3.99</v>
          </cell>
          <cell r="I147">
            <v>50</v>
          </cell>
        </row>
        <row r="148">
          <cell r="B148" t="str">
            <v>0201401945116</v>
          </cell>
          <cell r="C148" t="str">
            <v>TAPPING SOLUTION FOR WEIGHT LO</v>
          </cell>
          <cell r="D148" t="str">
            <v>R</v>
          </cell>
          <cell r="E148" t="str">
            <v>CL</v>
          </cell>
          <cell r="F148" t="str">
            <v>Ortner, Jessica ; Northrup, Christiane</v>
          </cell>
          <cell r="G148" t="str">
            <v>HEAL</v>
          </cell>
          <cell r="H148">
            <v>4.99</v>
          </cell>
          <cell r="I148">
            <v>424</v>
          </cell>
        </row>
        <row r="149">
          <cell r="B149" t="str">
            <v>0201401945123</v>
          </cell>
          <cell r="C149" t="str">
            <v>TAPPING SOLUTION FOR WEIGHT LO</v>
          </cell>
          <cell r="D149" t="str">
            <v>R</v>
          </cell>
          <cell r="E149" t="str">
            <v>CD</v>
          </cell>
          <cell r="F149" t="str">
            <v>Ortner, Jessica ; Northrup, Christiane</v>
          </cell>
          <cell r="G149" t="str">
            <v>HEAL</v>
          </cell>
          <cell r="H149">
            <v>7.99</v>
          </cell>
          <cell r="I149">
            <v>49</v>
          </cell>
        </row>
        <row r="150">
          <cell r="B150" t="str">
            <v>0201401945147</v>
          </cell>
          <cell r="C150" t="str">
            <v>HEAL YOUR MIND</v>
          </cell>
          <cell r="D150" t="str">
            <v>R</v>
          </cell>
          <cell r="E150" t="str">
            <v>CL</v>
          </cell>
          <cell r="F150" t="str">
            <v>Schulz, Mona Lisa ; Hay, Louise</v>
          </cell>
          <cell r="G150" t="str">
            <v>NWAGE</v>
          </cell>
          <cell r="H150">
            <v>5.99</v>
          </cell>
          <cell r="I150">
            <v>76</v>
          </cell>
        </row>
        <row r="151">
          <cell r="B151" t="str">
            <v>0201401945161</v>
          </cell>
          <cell r="C151" t="str">
            <v>GODDESSES NEVER AGE</v>
          </cell>
          <cell r="D151" t="str">
            <v>R</v>
          </cell>
          <cell r="E151" t="str">
            <v>CL</v>
          </cell>
          <cell r="F151" t="str">
            <v>Northrup, Christiane</v>
          </cell>
          <cell r="G151" t="str">
            <v>HEAL</v>
          </cell>
          <cell r="H151">
            <v>6.5</v>
          </cell>
          <cell r="I151">
            <v>0</v>
          </cell>
        </row>
        <row r="152">
          <cell r="B152" t="str">
            <v>0201401945185</v>
          </cell>
          <cell r="C152" t="str">
            <v>HOLY SHIFT!</v>
          </cell>
          <cell r="D152" t="str">
            <v>R</v>
          </cell>
          <cell r="E152" t="str">
            <v>PB</v>
          </cell>
          <cell r="F152" t="str">
            <v>Holden, Robert</v>
          </cell>
          <cell r="G152" t="str">
            <v>SELF</v>
          </cell>
          <cell r="H152">
            <v>2.99</v>
          </cell>
          <cell r="I152">
            <v>72</v>
          </cell>
        </row>
        <row r="153">
          <cell r="B153" t="str">
            <v>0201401945246</v>
          </cell>
          <cell r="C153" t="str">
            <v>TAPPING SOLUTION FOR PAIN RELI</v>
          </cell>
          <cell r="D153" t="str">
            <v>R</v>
          </cell>
          <cell r="E153" t="str">
            <v>CL</v>
          </cell>
          <cell r="F153" t="str">
            <v>Ortner, Nick</v>
          </cell>
          <cell r="G153" t="str">
            <v>HEAL</v>
          </cell>
          <cell r="H153">
            <v>5.99</v>
          </cell>
          <cell r="I153">
            <v>599</v>
          </cell>
        </row>
        <row r="154">
          <cell r="B154" t="str">
            <v>0201401945345</v>
          </cell>
          <cell r="C154" t="str">
            <v>LOVE NEVER DIES</v>
          </cell>
          <cell r="D154" t="str">
            <v>R</v>
          </cell>
          <cell r="E154" t="str">
            <v>CL</v>
          </cell>
          <cell r="F154" t="str">
            <v>Turndorf, Jamie</v>
          </cell>
          <cell r="G154" t="str">
            <v>NWAGE</v>
          </cell>
          <cell r="H154">
            <v>6.74</v>
          </cell>
          <cell r="I154">
            <v>0</v>
          </cell>
        </row>
        <row r="155">
          <cell r="B155" t="str">
            <v>0201401945376</v>
          </cell>
          <cell r="C155" t="str">
            <v>CONVERSATIONS WITH HISTORY</v>
          </cell>
          <cell r="D155" t="str">
            <v>R</v>
          </cell>
          <cell r="E155" t="str">
            <v>PB</v>
          </cell>
          <cell r="F155" t="str">
            <v>Lander, Susan</v>
          </cell>
          <cell r="G155" t="str">
            <v>NWAGE</v>
          </cell>
          <cell r="H155">
            <v>3.99</v>
          </cell>
          <cell r="I155">
            <v>111</v>
          </cell>
        </row>
        <row r="156">
          <cell r="B156" t="str">
            <v>0201401945567</v>
          </cell>
          <cell r="C156" t="str">
            <v>TOP TEN THINGS DEAD PEOPLE WAN</v>
          </cell>
          <cell r="D156" t="str">
            <v>R</v>
          </cell>
          <cell r="E156" t="str">
            <v>CL</v>
          </cell>
          <cell r="F156" t="str">
            <v>Dooley, Mike</v>
          </cell>
          <cell r="G156" t="str">
            <v>NWAGE</v>
          </cell>
          <cell r="H156">
            <v>4.99</v>
          </cell>
          <cell r="I156">
            <v>240</v>
          </cell>
        </row>
        <row r="157">
          <cell r="B157" t="str">
            <v>0201401945680</v>
          </cell>
          <cell r="C157" t="str">
            <v>ALL-DAY ENERGY DIET</v>
          </cell>
          <cell r="D157" t="str">
            <v>R</v>
          </cell>
          <cell r="E157" t="str">
            <v>CL</v>
          </cell>
          <cell r="F157" t="str">
            <v>Elkaim, Yuri</v>
          </cell>
          <cell r="G157" t="str">
            <v>HEAL</v>
          </cell>
          <cell r="H157">
            <v>4.99</v>
          </cell>
          <cell r="I157">
            <v>119</v>
          </cell>
        </row>
        <row r="158">
          <cell r="B158" t="str">
            <v>0201401945697</v>
          </cell>
          <cell r="C158" t="str">
            <v>ALL-DAY ENERGY DIET</v>
          </cell>
          <cell r="D158" t="str">
            <v>R</v>
          </cell>
          <cell r="E158" t="str">
            <v>PB</v>
          </cell>
          <cell r="F158" t="str">
            <v>Elkaim, Yuri</v>
          </cell>
          <cell r="G158" t="str">
            <v>HEAL</v>
          </cell>
          <cell r="H158">
            <v>3.99</v>
          </cell>
          <cell r="I158">
            <v>431</v>
          </cell>
        </row>
        <row r="159">
          <cell r="B159" t="str">
            <v>0201401945765</v>
          </cell>
          <cell r="C159" t="str">
            <v>PEOPLE OF THE GREAT JOURNEY</v>
          </cell>
          <cell r="D159" t="str">
            <v>R</v>
          </cell>
          <cell r="E159" t="str">
            <v>PB</v>
          </cell>
          <cell r="F159" t="str">
            <v>Melling, O.R.</v>
          </cell>
          <cell r="G159" t="str">
            <v>FICT</v>
          </cell>
          <cell r="H159">
            <v>3.74</v>
          </cell>
          <cell r="I159">
            <v>0</v>
          </cell>
        </row>
        <row r="160">
          <cell r="B160" t="str">
            <v>0201401945864</v>
          </cell>
          <cell r="C160" t="str">
            <v>NURTURING HEALING LOVE</v>
          </cell>
          <cell r="D160" t="str">
            <v>r</v>
          </cell>
          <cell r="E160" t="str">
            <v>PB</v>
          </cell>
          <cell r="F160" t="str">
            <v>Lewis, Scarlett ; Stoynoff, Natasha</v>
          </cell>
          <cell r="G160" t="str">
            <v>BIOG</v>
          </cell>
          <cell r="H160">
            <v>2.99</v>
          </cell>
          <cell r="I160">
            <v>96</v>
          </cell>
        </row>
        <row r="161">
          <cell r="B161" t="str">
            <v>0201401945871</v>
          </cell>
          <cell r="C161" t="str">
            <v>POWER OF NO</v>
          </cell>
          <cell r="D161" t="str">
            <v>R</v>
          </cell>
          <cell r="E161" t="str">
            <v>PB</v>
          </cell>
          <cell r="F161" t="str">
            <v>Altucher, James ; Azula Altucher, Claudia</v>
          </cell>
          <cell r="G161" t="str">
            <v>NWAGE</v>
          </cell>
          <cell r="H161">
            <v>3.74</v>
          </cell>
          <cell r="I161">
            <v>0</v>
          </cell>
        </row>
        <row r="162">
          <cell r="B162" t="str">
            <v>0201401945918</v>
          </cell>
          <cell r="C162" t="str">
            <v>LOVE</v>
          </cell>
          <cell r="D162" t="str">
            <v>R</v>
          </cell>
          <cell r="E162" t="str">
            <v>PB</v>
          </cell>
          <cell r="F162" t="str">
            <v>Stevens, Christina</v>
          </cell>
          <cell r="G162" t="str">
            <v>BIOG</v>
          </cell>
          <cell r="H162">
            <v>3.99</v>
          </cell>
          <cell r="I162">
            <v>144</v>
          </cell>
        </row>
        <row r="163">
          <cell r="B163" t="str">
            <v>0201401946045</v>
          </cell>
          <cell r="C163" t="str">
            <v>BEYOND PAST LIVES</v>
          </cell>
          <cell r="D163" t="str">
            <v>R</v>
          </cell>
          <cell r="E163" t="str">
            <v>CL</v>
          </cell>
          <cell r="F163" t="str">
            <v>Kelley, Mira ; Dyer, Wayne W</v>
          </cell>
          <cell r="G163" t="str">
            <v>NWAGE</v>
          </cell>
          <cell r="H163">
            <v>5.99</v>
          </cell>
          <cell r="I163">
            <v>48</v>
          </cell>
        </row>
        <row r="164">
          <cell r="B164" t="str">
            <v>0201401946083</v>
          </cell>
          <cell r="C164" t="str">
            <v>YOUR YEAR FOR CHANGE</v>
          </cell>
          <cell r="D164" t="str">
            <v>R</v>
          </cell>
          <cell r="E164" t="str">
            <v>PB</v>
          </cell>
          <cell r="F164" t="str">
            <v>Ware, Bronnie</v>
          </cell>
          <cell r="G164" t="str">
            <v>SELF</v>
          </cell>
          <cell r="H164">
            <v>3.99</v>
          </cell>
          <cell r="I164">
            <v>25</v>
          </cell>
        </row>
        <row r="165">
          <cell r="B165" t="str">
            <v>0201401946113</v>
          </cell>
          <cell r="C165" t="str">
            <v>MINDFUL INTENTIONS</v>
          </cell>
          <cell r="D165" t="str">
            <v>R</v>
          </cell>
          <cell r="E165" t="str">
            <v>BI</v>
          </cell>
          <cell r="F165" t="str">
            <v>Schwartzberg, Louie</v>
          </cell>
          <cell r="G165" t="str">
            <v>SELF</v>
          </cell>
          <cell r="H165">
            <v>7.49</v>
          </cell>
          <cell r="I165">
            <v>0</v>
          </cell>
        </row>
        <row r="166">
          <cell r="B166" t="str">
            <v>0201401946144</v>
          </cell>
          <cell r="C166" t="str">
            <v>LIFE LOVES YOU</v>
          </cell>
          <cell r="D166" t="str">
            <v>R</v>
          </cell>
          <cell r="E166" t="str">
            <v>CL</v>
          </cell>
          <cell r="F166" t="str">
            <v>Hay, Louise ; Holden, Robert</v>
          </cell>
          <cell r="G166" t="str">
            <v>SELF</v>
          </cell>
          <cell r="H166">
            <v>5</v>
          </cell>
          <cell r="I166">
            <v>0</v>
          </cell>
        </row>
        <row r="167">
          <cell r="B167" t="str">
            <v>0201401946175</v>
          </cell>
          <cell r="C167" t="str">
            <v>KALE AND COFFEE</v>
          </cell>
          <cell r="D167" t="str">
            <v>R</v>
          </cell>
          <cell r="E167" t="str">
            <v>CL</v>
          </cell>
          <cell r="F167" t="str">
            <v>Gianni, Kevin</v>
          </cell>
          <cell r="G167" t="str">
            <v>HEAL</v>
          </cell>
          <cell r="H167">
            <v>6.25</v>
          </cell>
          <cell r="I167">
            <v>0</v>
          </cell>
        </row>
        <row r="168">
          <cell r="B168" t="str">
            <v>0201401946199</v>
          </cell>
          <cell r="C168" t="str">
            <v>GORGEOUS FOR GOOD</v>
          </cell>
          <cell r="D168" t="str">
            <v>R</v>
          </cell>
          <cell r="E168" t="str">
            <v>PB</v>
          </cell>
          <cell r="F168" t="str">
            <v>Uliano, Sophie</v>
          </cell>
          <cell r="G168" t="str">
            <v>HEAL</v>
          </cell>
          <cell r="H168">
            <v>3.99</v>
          </cell>
          <cell r="I168">
            <v>47</v>
          </cell>
        </row>
        <row r="169">
          <cell r="B169" t="str">
            <v>0201401946335</v>
          </cell>
          <cell r="C169" t="str">
            <v>EMPOWER YOURSELF</v>
          </cell>
          <cell r="D169" t="str">
            <v>R</v>
          </cell>
          <cell r="E169" t="str">
            <v>PB</v>
          </cell>
          <cell r="F169" t="str">
            <v>Kerr, Miranda</v>
          </cell>
          <cell r="G169" t="str">
            <v>SELF</v>
          </cell>
          <cell r="H169">
            <v>2.99</v>
          </cell>
          <cell r="I169">
            <v>192</v>
          </cell>
        </row>
        <row r="170">
          <cell r="B170" t="str">
            <v>0201401946359</v>
          </cell>
          <cell r="C170" t="str">
            <v>FALLING UP</v>
          </cell>
          <cell r="D170" t="str">
            <v>R</v>
          </cell>
          <cell r="E170" t="str">
            <v>PB</v>
          </cell>
          <cell r="F170" t="str">
            <v>Liesegang, Dana ; Stoynoff, Natasha</v>
          </cell>
          <cell r="G170" t="str">
            <v>BIOG</v>
          </cell>
          <cell r="H170">
            <v>3.99</v>
          </cell>
          <cell r="I170">
            <v>312</v>
          </cell>
        </row>
        <row r="171">
          <cell r="B171" t="str">
            <v>0201401946366</v>
          </cell>
          <cell r="C171" t="str">
            <v>F**K IT IS THE ANSWER</v>
          </cell>
          <cell r="D171" t="str">
            <v>R</v>
          </cell>
          <cell r="E171" t="str">
            <v>CL</v>
          </cell>
          <cell r="F171" t="str">
            <v>Parkin, John C. ; Pollini, Gaia</v>
          </cell>
          <cell r="G171" t="str">
            <v>SELF</v>
          </cell>
          <cell r="H171">
            <v>4.25</v>
          </cell>
          <cell r="I171">
            <v>0</v>
          </cell>
        </row>
        <row r="172">
          <cell r="B172" t="str">
            <v>0201401946717</v>
          </cell>
          <cell r="C172" t="str">
            <v>BELLY FAT CURE FAST TRACK</v>
          </cell>
          <cell r="D172" t="str">
            <v>R</v>
          </cell>
          <cell r="E172" t="str">
            <v>PB</v>
          </cell>
          <cell r="F172" t="str">
            <v>Cruise, Jorge</v>
          </cell>
          <cell r="G172" t="str">
            <v>HEAL</v>
          </cell>
          <cell r="H172">
            <v>3.99</v>
          </cell>
          <cell r="I172">
            <v>263</v>
          </cell>
        </row>
        <row r="173">
          <cell r="B173" t="str">
            <v>0201401946724</v>
          </cell>
          <cell r="C173" t="str">
            <v>BELLY FAT CURE QUICK MEALS</v>
          </cell>
          <cell r="D173" t="str">
            <v>R</v>
          </cell>
          <cell r="E173" t="str">
            <v>PB</v>
          </cell>
          <cell r="F173" t="str">
            <v>Cruise, Jorge</v>
          </cell>
          <cell r="G173" t="str">
            <v>HEAL</v>
          </cell>
          <cell r="H173">
            <v>3.99</v>
          </cell>
          <cell r="I173">
            <v>72</v>
          </cell>
        </row>
        <row r="174">
          <cell r="B174" t="str">
            <v>0201401947226</v>
          </cell>
          <cell r="C174" t="str">
            <v>STUBBORN FAT GONE!</v>
          </cell>
          <cell r="D174" t="str">
            <v>R</v>
          </cell>
          <cell r="E174" t="str">
            <v>CL</v>
          </cell>
          <cell r="F174" t="str">
            <v>Cruise, Jorge</v>
          </cell>
          <cell r="G174" t="str">
            <v>HEAL</v>
          </cell>
          <cell r="H174">
            <v>5.99</v>
          </cell>
          <cell r="I174">
            <v>696</v>
          </cell>
        </row>
        <row r="175">
          <cell r="B175" t="str">
            <v>0201401947264</v>
          </cell>
          <cell r="C175" t="str">
            <v>BECOMING AWARE</v>
          </cell>
          <cell r="D175" t="str">
            <v>R</v>
          </cell>
          <cell r="E175" t="str">
            <v>CL</v>
          </cell>
          <cell r="F175" t="str">
            <v>Garr, Lisa</v>
          </cell>
          <cell r="G175" t="str">
            <v>SELF</v>
          </cell>
          <cell r="H175">
            <v>6.25</v>
          </cell>
          <cell r="I175">
            <v>0</v>
          </cell>
        </row>
        <row r="176">
          <cell r="B176" t="str">
            <v>0201401947271</v>
          </cell>
          <cell r="C176" t="str">
            <v>BECOMING AWARE</v>
          </cell>
          <cell r="D176" t="str">
            <v>R</v>
          </cell>
          <cell r="E176" t="str">
            <v>PB</v>
          </cell>
          <cell r="F176" t="str">
            <v>Garr, Lisa</v>
          </cell>
          <cell r="G176" t="str">
            <v>SELF</v>
          </cell>
          <cell r="H176">
            <v>4.25</v>
          </cell>
          <cell r="I176">
            <v>0</v>
          </cell>
        </row>
        <row r="177">
          <cell r="B177" t="str">
            <v>0201401947462</v>
          </cell>
          <cell r="C177" t="str">
            <v>WINGS OF FORGIVENESS</v>
          </cell>
          <cell r="D177" t="str">
            <v>R</v>
          </cell>
          <cell r="E177" t="str">
            <v>PB</v>
          </cell>
          <cell r="F177" t="str">
            <v>Gray, Kyle</v>
          </cell>
          <cell r="G177" t="str">
            <v>NWAGE</v>
          </cell>
          <cell r="H177">
            <v>4.25</v>
          </cell>
          <cell r="I177">
            <v>0</v>
          </cell>
        </row>
        <row r="178">
          <cell r="B178" t="str">
            <v>0201401947486</v>
          </cell>
          <cell r="C178" t="str">
            <v>SECRETS FROM CHUCKLING GOAT</v>
          </cell>
          <cell r="D178" t="str">
            <v>R</v>
          </cell>
          <cell r="E178" t="str">
            <v>PB</v>
          </cell>
          <cell r="F178" t="str">
            <v>Jones, Shann Nix</v>
          </cell>
          <cell r="G178" t="str">
            <v>BIOG</v>
          </cell>
          <cell r="H178">
            <v>3.99</v>
          </cell>
          <cell r="I178">
            <v>106</v>
          </cell>
        </row>
        <row r="179">
          <cell r="B179" t="str">
            <v>0201401947578</v>
          </cell>
          <cell r="C179" t="str">
            <v>10 REASONS YOU FEEL OLD AND GE</v>
          </cell>
          <cell r="D179" t="str">
            <v>R</v>
          </cell>
          <cell r="E179" t="str">
            <v>CL</v>
          </cell>
          <cell r="F179" t="str">
            <v>Lipman, Frank</v>
          </cell>
          <cell r="G179" t="str">
            <v>HEAL</v>
          </cell>
          <cell r="H179">
            <v>5.99</v>
          </cell>
          <cell r="I179">
            <v>131</v>
          </cell>
        </row>
        <row r="180">
          <cell r="B180" t="str">
            <v>0201401947622</v>
          </cell>
          <cell r="C180" t="str">
            <v>TRUTH OF SPIRITS</v>
          </cell>
          <cell r="D180" t="str">
            <v>R</v>
          </cell>
          <cell r="E180" t="str">
            <v>CL</v>
          </cell>
          <cell r="F180" t="str">
            <v>Baird, Carmel Joy ; Grabski, Tiffany</v>
          </cell>
          <cell r="G180" t="str">
            <v>NWAGE</v>
          </cell>
          <cell r="H180">
            <v>5.99</v>
          </cell>
          <cell r="I180">
            <v>1595</v>
          </cell>
        </row>
        <row r="181">
          <cell r="B181" t="str">
            <v>0201401947868</v>
          </cell>
          <cell r="C181" t="str">
            <v>OUT OF THE BLUE</v>
          </cell>
          <cell r="D181" t="str">
            <v>R</v>
          </cell>
          <cell r="E181" t="str">
            <v>PB</v>
          </cell>
          <cell r="F181" t="str">
            <v>Terhune, Mary</v>
          </cell>
          <cell r="G181" t="str">
            <v>NWAGE</v>
          </cell>
          <cell r="H181">
            <v>3.75</v>
          </cell>
          <cell r="I181">
            <v>288</v>
          </cell>
        </row>
        <row r="182">
          <cell r="B182" t="str">
            <v>0201401947981</v>
          </cell>
          <cell r="C182" t="str">
            <v>SACRED SIX</v>
          </cell>
          <cell r="D182" t="str">
            <v>R</v>
          </cell>
          <cell r="E182" t="str">
            <v>CL</v>
          </cell>
          <cell r="F182" t="str">
            <v>Glossinger, JB</v>
          </cell>
          <cell r="G182" t="str">
            <v>SELF</v>
          </cell>
          <cell r="H182">
            <v>6.25</v>
          </cell>
          <cell r="I182">
            <v>0</v>
          </cell>
        </row>
        <row r="183">
          <cell r="B183" t="str">
            <v>0201401948391</v>
          </cell>
          <cell r="C183" t="str">
            <v>50 FOR YOUR FUTURE</v>
          </cell>
          <cell r="D183" t="str">
            <v>R</v>
          </cell>
          <cell r="E183" t="str">
            <v>CL</v>
          </cell>
          <cell r="F183" t="str">
            <v>Smiley, Tavis</v>
          </cell>
          <cell r="G183" t="str">
            <v>SELF</v>
          </cell>
          <cell r="H183">
            <v>3.99</v>
          </cell>
          <cell r="I183">
            <v>120</v>
          </cell>
        </row>
        <row r="184">
          <cell r="B184" t="str">
            <v>0201401948445</v>
          </cell>
          <cell r="C184" t="str">
            <v>CO-CREATING AT ITS BEST</v>
          </cell>
          <cell r="D184" t="str">
            <v>R</v>
          </cell>
          <cell r="E184" t="str">
            <v>CL</v>
          </cell>
          <cell r="F184" t="str">
            <v>Dyer, Wayne W. ; Hicks, Esther</v>
          </cell>
          <cell r="G184" t="str">
            <v>NWAGE</v>
          </cell>
          <cell r="H184">
            <v>3.75</v>
          </cell>
          <cell r="I184">
            <v>516</v>
          </cell>
        </row>
        <row r="185">
          <cell r="B185" t="str">
            <v>0201401948520</v>
          </cell>
          <cell r="C185" t="str">
            <v>MEMORIES OF HEAVEN</v>
          </cell>
          <cell r="D185" t="str">
            <v>r</v>
          </cell>
          <cell r="E185" t="str">
            <v>CL</v>
          </cell>
          <cell r="F185" t="str">
            <v>Dyer, Wayne ; Garnes, Dee ; Hicks-Garnes, Dianna</v>
          </cell>
          <cell r="G185" t="str">
            <v>NWAGE</v>
          </cell>
          <cell r="H185">
            <v>4.99</v>
          </cell>
          <cell r="I185">
            <v>3864</v>
          </cell>
        </row>
        <row r="186">
          <cell r="B186" t="str">
            <v>0201401948698</v>
          </cell>
          <cell r="C186" t="str">
            <v>HEAL YOUR CHILD FROM THE INSID</v>
          </cell>
          <cell r="D186" t="str">
            <v>R</v>
          </cell>
          <cell r="E186" t="str">
            <v>PB</v>
          </cell>
          <cell r="F186" t="str">
            <v>Green, Robin Ray</v>
          </cell>
          <cell r="G186" t="str">
            <v>HEAL</v>
          </cell>
          <cell r="H186">
            <v>3.99</v>
          </cell>
          <cell r="I186">
            <v>192</v>
          </cell>
        </row>
        <row r="187">
          <cell r="B187" t="str">
            <v>0201401948889</v>
          </cell>
          <cell r="C187" t="str">
            <v>DIVINE NAME</v>
          </cell>
          <cell r="D187" t="str">
            <v>R</v>
          </cell>
          <cell r="E187" t="str">
            <v>PB</v>
          </cell>
          <cell r="F187" t="str">
            <v>Goldman, Jonathan</v>
          </cell>
          <cell r="G187" t="str">
            <v>NWAGE</v>
          </cell>
          <cell r="H187">
            <v>3.75</v>
          </cell>
          <cell r="I187">
            <v>72</v>
          </cell>
        </row>
        <row r="188">
          <cell r="B188" t="str">
            <v>0201401948896</v>
          </cell>
          <cell r="C188" t="str">
            <v>EAT REAL FOOD</v>
          </cell>
          <cell r="D188" t="str">
            <v>R</v>
          </cell>
          <cell r="E188" t="str">
            <v>PB</v>
          </cell>
          <cell r="F188" t="str">
            <v>Montagu, Julie</v>
          </cell>
          <cell r="G188" t="str">
            <v>HEAL</v>
          </cell>
          <cell r="H188">
            <v>3.99</v>
          </cell>
          <cell r="I188">
            <v>912</v>
          </cell>
        </row>
        <row r="189">
          <cell r="B189" t="str">
            <v>0201401948902</v>
          </cell>
          <cell r="C189" t="str">
            <v>UNCOOK BOOK</v>
          </cell>
          <cell r="D189" t="str">
            <v>R</v>
          </cell>
          <cell r="E189" t="str">
            <v>CL</v>
          </cell>
          <cell r="F189" t="str">
            <v>Maher, Tanya</v>
          </cell>
          <cell r="G189" t="str">
            <v>COOK</v>
          </cell>
          <cell r="H189">
            <v>5.99</v>
          </cell>
          <cell r="I189">
            <v>659</v>
          </cell>
        </row>
        <row r="190">
          <cell r="B190" t="str">
            <v>0201401949015</v>
          </cell>
          <cell r="C190" t="str">
            <v>I CAN MAKE YOU HAPPY</v>
          </cell>
          <cell r="D190" t="str">
            <v>r</v>
          </cell>
          <cell r="E190" t="str">
            <v>PB</v>
          </cell>
          <cell r="F190" t="str">
            <v>McKenna, Paul</v>
          </cell>
          <cell r="G190" t="str">
            <v>SELF</v>
          </cell>
          <cell r="H190">
            <v>2.99</v>
          </cell>
          <cell r="I190">
            <v>24</v>
          </cell>
        </row>
        <row r="191">
          <cell r="B191" t="str">
            <v>0201401949398</v>
          </cell>
          <cell r="C191" t="str">
            <v>ALLERGY SOLUTION</v>
          </cell>
          <cell r="D191" t="str">
            <v>R</v>
          </cell>
          <cell r="E191" t="str">
            <v>CL</v>
          </cell>
          <cell r="F191" t="str">
            <v>Galland, Leo ; Galland, Jonathan</v>
          </cell>
          <cell r="G191" t="str">
            <v>HEAL</v>
          </cell>
          <cell r="H191">
            <v>5.99</v>
          </cell>
          <cell r="I191">
            <v>996</v>
          </cell>
        </row>
        <row r="192">
          <cell r="B192" t="str">
            <v>0201401949602</v>
          </cell>
          <cell r="C192" t="str">
            <v>MIND PROGRAMMING</v>
          </cell>
          <cell r="D192" t="str">
            <v>R</v>
          </cell>
          <cell r="E192" t="str">
            <v>PB</v>
          </cell>
          <cell r="F192" t="str">
            <v>Taylor, Eldon</v>
          </cell>
          <cell r="G192" t="str">
            <v>NWAGE</v>
          </cell>
          <cell r="H192">
            <v>4.99</v>
          </cell>
          <cell r="I192">
            <v>193</v>
          </cell>
        </row>
        <row r="193">
          <cell r="B193" t="str">
            <v>0201401949657</v>
          </cell>
          <cell r="C193" t="str">
            <v>POWER ANIMALS</v>
          </cell>
          <cell r="D193" t="str">
            <v>R</v>
          </cell>
          <cell r="E193" t="str">
            <v>PB</v>
          </cell>
          <cell r="F193" t="str">
            <v>Farmer, Steven D.</v>
          </cell>
          <cell r="G193" t="str">
            <v>NWAGE</v>
          </cell>
          <cell r="H193">
            <v>4.25</v>
          </cell>
          <cell r="I193">
            <v>0</v>
          </cell>
        </row>
        <row r="194">
          <cell r="B194" t="str">
            <v>0201401949756</v>
          </cell>
          <cell r="C194" t="str">
            <v>MEDITATIONS FOR BREAKING THE H</v>
          </cell>
          <cell r="D194" t="str">
            <v>R</v>
          </cell>
          <cell r="E194" t="str">
            <v>CD</v>
          </cell>
          <cell r="F194" t="str">
            <v>Dispenza, Joe</v>
          </cell>
          <cell r="G194" t="str">
            <v>SELF</v>
          </cell>
          <cell r="H194">
            <v>4.75</v>
          </cell>
          <cell r="I194">
            <v>0</v>
          </cell>
        </row>
        <row r="195">
          <cell r="B195" t="str">
            <v>0201401950370</v>
          </cell>
          <cell r="C195" t="str">
            <v>FROM JUNK FOOD TO JOY FOOD</v>
          </cell>
          <cell r="D195" t="str">
            <v>R</v>
          </cell>
          <cell r="E195" t="str">
            <v>CL</v>
          </cell>
          <cell r="F195" t="str">
            <v>Bauer, Joy</v>
          </cell>
          <cell r="G195" t="str">
            <v>COOK</v>
          </cell>
          <cell r="H195">
            <v>5.99</v>
          </cell>
          <cell r="I195">
            <v>143</v>
          </cell>
        </row>
        <row r="196">
          <cell r="B196" t="str">
            <v>0201401950523</v>
          </cell>
          <cell r="C196" t="str">
            <v>PLAY LIFE MORE BEAUTIFULLY</v>
          </cell>
          <cell r="D196" t="str">
            <v>r</v>
          </cell>
          <cell r="E196" t="str">
            <v>CL</v>
          </cell>
          <cell r="F196" t="str">
            <v>Harvey, Andrew ; Bernstein, Seymour</v>
          </cell>
          <cell r="G196" t="str">
            <v>BIOG</v>
          </cell>
          <cell r="H196">
            <v>5.99</v>
          </cell>
          <cell r="I196">
            <v>48</v>
          </cell>
        </row>
        <row r="197">
          <cell r="B197" t="str">
            <v>0201401951735</v>
          </cell>
          <cell r="C197" t="str">
            <v>BEING IN BALANCE</v>
          </cell>
          <cell r="D197" t="str">
            <v>R</v>
          </cell>
          <cell r="E197" t="str">
            <v>PB</v>
          </cell>
          <cell r="F197" t="str">
            <v>Dyer, Wayne W.</v>
          </cell>
          <cell r="G197" t="str">
            <v>SELF</v>
          </cell>
          <cell r="H197">
            <v>1.99</v>
          </cell>
          <cell r="I197">
            <v>0</v>
          </cell>
        </row>
        <row r="198">
          <cell r="B198" t="str">
            <v>0201402215034</v>
          </cell>
          <cell r="C198" t="str">
            <v>MAGICKEEPERS: THE CHALICE OF I</v>
          </cell>
          <cell r="D198" t="str">
            <v>R</v>
          </cell>
          <cell r="E198" t="str">
            <v>Pb</v>
          </cell>
          <cell r="F198" t="str">
            <v>Kirov, Erica</v>
          </cell>
          <cell r="G198" t="str">
            <v>CHIL</v>
          </cell>
          <cell r="H198">
            <v>0.99</v>
          </cell>
          <cell r="I198">
            <v>150</v>
          </cell>
        </row>
        <row r="199">
          <cell r="B199" t="str">
            <v>0201402238781</v>
          </cell>
          <cell r="C199" t="str">
            <v>APRIL LADY</v>
          </cell>
          <cell r="D199" t="str">
            <v>R</v>
          </cell>
          <cell r="E199" t="str">
            <v>PB</v>
          </cell>
          <cell r="F199" t="str">
            <v>Heyer, Georgette</v>
          </cell>
          <cell r="G199" t="str">
            <v>FICT</v>
          </cell>
          <cell r="H199">
            <v>3.99</v>
          </cell>
          <cell r="I199">
            <v>0</v>
          </cell>
        </row>
        <row r="200">
          <cell r="B200" t="str">
            <v>0201402238804</v>
          </cell>
          <cell r="C200" t="str">
            <v>SYLVESTER</v>
          </cell>
          <cell r="D200" t="str">
            <v>R</v>
          </cell>
          <cell r="E200" t="str">
            <v>Pb</v>
          </cell>
          <cell r="F200" t="str">
            <v>Heyer, Georgette</v>
          </cell>
          <cell r="G200" t="str">
            <v>FICT</v>
          </cell>
          <cell r="H200">
            <v>3.99</v>
          </cell>
          <cell r="I200">
            <v>0</v>
          </cell>
        </row>
        <row r="201">
          <cell r="B201" t="str">
            <v>0201402238811</v>
          </cell>
          <cell r="C201" t="str">
            <v>TOLL GATE</v>
          </cell>
          <cell r="D201" t="str">
            <v>R</v>
          </cell>
          <cell r="E201" t="str">
            <v>Pb</v>
          </cell>
          <cell r="F201" t="str">
            <v>Heyer, Georgette</v>
          </cell>
          <cell r="G201" t="str">
            <v>FICT</v>
          </cell>
          <cell r="H201">
            <v>3.99</v>
          </cell>
          <cell r="I201">
            <v>0</v>
          </cell>
        </row>
        <row r="202">
          <cell r="B202" t="str">
            <v>0201402241361</v>
          </cell>
          <cell r="C202" t="str">
            <v>GEORGETTE HEYER'S REGENCY WORL</v>
          </cell>
          <cell r="D202" t="str">
            <v>R</v>
          </cell>
          <cell r="E202" t="str">
            <v>PB</v>
          </cell>
          <cell r="F202" t="str">
            <v>Kloester, Jennifer</v>
          </cell>
          <cell r="G202" t="str">
            <v>LIT</v>
          </cell>
          <cell r="H202">
            <v>3.99</v>
          </cell>
          <cell r="I202">
            <v>0</v>
          </cell>
        </row>
        <row r="203">
          <cell r="B203" t="str">
            <v>0201402244089</v>
          </cell>
          <cell r="C203" t="str">
            <v>1001 WAYS TO BE ROMANTIC, 3E 3</v>
          </cell>
          <cell r="D203" t="str">
            <v>R</v>
          </cell>
          <cell r="E203" t="str">
            <v>PB</v>
          </cell>
          <cell r="F203" t="str">
            <v>Godek, Gregory J.P.</v>
          </cell>
          <cell r="G203" t="str">
            <v>FAMI</v>
          </cell>
          <cell r="H203">
            <v>4.99</v>
          </cell>
          <cell r="I203">
            <v>0</v>
          </cell>
        </row>
        <row r="204">
          <cell r="B204" t="str">
            <v>0201402254361</v>
          </cell>
          <cell r="C204" t="str">
            <v>FIFTEEN MINUTES OUTSIDE</v>
          </cell>
          <cell r="D204" t="str">
            <v>R</v>
          </cell>
          <cell r="E204" t="str">
            <v>Pb</v>
          </cell>
          <cell r="F204" t="str">
            <v>Cohen, Rebecca P.</v>
          </cell>
          <cell r="G204" t="str">
            <v>FAMI</v>
          </cell>
          <cell r="H204">
            <v>3.99</v>
          </cell>
          <cell r="I204">
            <v>0</v>
          </cell>
        </row>
        <row r="205">
          <cell r="B205" t="str">
            <v>0201402266524</v>
          </cell>
          <cell r="C205" t="str">
            <v>NEW RULES OF ATTRACTION</v>
          </cell>
          <cell r="D205" t="str">
            <v>R</v>
          </cell>
          <cell r="E205" t="str">
            <v>PB</v>
          </cell>
          <cell r="F205" t="str">
            <v>Leigh, Arden</v>
          </cell>
          <cell r="G205" t="str">
            <v>FAMI</v>
          </cell>
          <cell r="H205">
            <v>3.99</v>
          </cell>
          <cell r="I205">
            <v>0</v>
          </cell>
        </row>
        <row r="206">
          <cell r="B206" t="str">
            <v>0201402266623</v>
          </cell>
          <cell r="C206" t="str">
            <v>BIG GIRLS GO POTTY</v>
          </cell>
          <cell r="D206" t="str">
            <v>R</v>
          </cell>
          <cell r="E206" t="str">
            <v>CL</v>
          </cell>
          <cell r="F206" t="str">
            <v>Richmond, Marianne</v>
          </cell>
          <cell r="G206" t="str">
            <v>CHIL</v>
          </cell>
          <cell r="H206">
            <v>2.99</v>
          </cell>
          <cell r="I206">
            <v>0</v>
          </cell>
        </row>
        <row r="207">
          <cell r="B207" t="str">
            <v>0201402267569</v>
          </cell>
          <cell r="C207" t="str">
            <v>NAKED ROOMMATE: FOR PARENTS ON</v>
          </cell>
          <cell r="D207" t="str">
            <v>R</v>
          </cell>
          <cell r="E207" t="str">
            <v>PB</v>
          </cell>
          <cell r="F207" t="str">
            <v>Cohen, Harlan</v>
          </cell>
          <cell r="G207" t="str">
            <v>EDUC</v>
          </cell>
          <cell r="H207">
            <v>3.99</v>
          </cell>
          <cell r="I207">
            <v>0</v>
          </cell>
        </row>
        <row r="208">
          <cell r="B208" t="str">
            <v>0201402273614</v>
          </cell>
          <cell r="C208" t="str">
            <v>KISS GOODNIGHT</v>
          </cell>
          <cell r="D208" t="str">
            <v>R</v>
          </cell>
          <cell r="E208" t="str">
            <v>NP</v>
          </cell>
          <cell r="G208" t="str">
            <v>FAMI</v>
          </cell>
          <cell r="H208">
            <v>0.99</v>
          </cell>
          <cell r="I208">
            <v>797</v>
          </cell>
        </row>
        <row r="209">
          <cell r="B209" t="str">
            <v>0201402281152</v>
          </cell>
          <cell r="C209" t="str">
            <v>I LOVE YOU MOM COUPONS</v>
          </cell>
          <cell r="D209" t="str">
            <v>R</v>
          </cell>
          <cell r="E209" t="str">
            <v>NP</v>
          </cell>
          <cell r="F209" t="str">
            <v>Sourcebooks</v>
          </cell>
          <cell r="G209" t="str">
            <v>FAMI</v>
          </cell>
          <cell r="H209">
            <v>1.99</v>
          </cell>
          <cell r="I209">
            <v>0</v>
          </cell>
        </row>
        <row r="210">
          <cell r="B210" t="str">
            <v>0201423603698</v>
          </cell>
          <cell r="C210" t="str">
            <v>UKULELE</v>
          </cell>
          <cell r="D210" t="str">
            <v>R</v>
          </cell>
          <cell r="E210" t="str">
            <v>Cl</v>
          </cell>
          <cell r="F210" t="str">
            <v>Dixon, Daniel ; McKay, Jayne</v>
          </cell>
          <cell r="G210" t="str">
            <v>MUSI</v>
          </cell>
          <cell r="H210">
            <v>4.5</v>
          </cell>
          <cell r="I210">
            <v>0</v>
          </cell>
        </row>
        <row r="211">
          <cell r="B211" t="str">
            <v>0201423606941</v>
          </cell>
          <cell r="C211" t="str">
            <v>SMALL SWEET TREATS</v>
          </cell>
          <cell r="D211" t="str">
            <v>R</v>
          </cell>
          <cell r="E211" t="str">
            <v>pb</v>
          </cell>
          <cell r="F211" t="str">
            <v>Henderson, Marguerite ; Williams, Zac</v>
          </cell>
          <cell r="G211" t="str">
            <v>COOK</v>
          </cell>
          <cell r="H211">
            <v>5.79</v>
          </cell>
          <cell r="I211">
            <v>0</v>
          </cell>
        </row>
        <row r="212">
          <cell r="B212" t="str">
            <v>0201423607610</v>
          </cell>
          <cell r="C212" t="str">
            <v>I'LL ALWAYS BE YOUR DAUGHTER</v>
          </cell>
          <cell r="D212" t="str">
            <v>R</v>
          </cell>
          <cell r="E212" t="str">
            <v>CL</v>
          </cell>
          <cell r="F212" t="str">
            <v>Pearson, Carol Lynn</v>
          </cell>
          <cell r="G212" t="str">
            <v>FICT</v>
          </cell>
          <cell r="H212">
            <v>2.75</v>
          </cell>
          <cell r="I212">
            <v>0</v>
          </cell>
        </row>
        <row r="213">
          <cell r="B213" t="str">
            <v>0201423618715</v>
          </cell>
          <cell r="C213" t="str">
            <v>JAMS &amp; JELLIES IN LESS THAN 30</v>
          </cell>
          <cell r="D213" t="str">
            <v>R</v>
          </cell>
          <cell r="E213" t="str">
            <v>Cl</v>
          </cell>
          <cell r="F213" t="str">
            <v>Bennett, Pamela</v>
          </cell>
          <cell r="G213" t="str">
            <v>COOK</v>
          </cell>
          <cell r="H213">
            <v>4.75</v>
          </cell>
          <cell r="I213">
            <v>0</v>
          </cell>
        </row>
        <row r="214">
          <cell r="B214" t="str">
            <v>0201423620107</v>
          </cell>
          <cell r="C214" t="str">
            <v>HOME DECOR IDEA BOOK: SLIPCOVE</v>
          </cell>
          <cell r="D214" t="str">
            <v>R</v>
          </cell>
          <cell r="E214" t="str">
            <v>PB</v>
          </cell>
          <cell r="F214" t="str">
            <v>Von Tobel, Jackie</v>
          </cell>
          <cell r="G214" t="str">
            <v>DOIT</v>
          </cell>
          <cell r="H214">
            <v>6.25</v>
          </cell>
          <cell r="I214">
            <v>0</v>
          </cell>
        </row>
        <row r="215">
          <cell r="B215" t="str">
            <v>0201423621890</v>
          </cell>
          <cell r="C215" t="str">
            <v>INSPIRED BY...</v>
          </cell>
          <cell r="D215" t="str">
            <v>R</v>
          </cell>
          <cell r="E215" t="str">
            <v>CL</v>
          </cell>
          <cell r="F215" t="str">
            <v>Ireland, Kathryn</v>
          </cell>
          <cell r="G215" t="str">
            <v>ARCH</v>
          </cell>
          <cell r="H215">
            <v>11.99</v>
          </cell>
          <cell r="I215">
            <v>0</v>
          </cell>
        </row>
        <row r="216">
          <cell r="B216" t="str">
            <v>0201423622859</v>
          </cell>
          <cell r="C216" t="str">
            <v>WEDDING INSPIRATION</v>
          </cell>
          <cell r="D216" t="str">
            <v>R</v>
          </cell>
          <cell r="E216" t="str">
            <v>CL</v>
          </cell>
          <cell r="F216" t="str">
            <v>Schlegel Whitman, Kimberly</v>
          </cell>
          <cell r="G216" t="str">
            <v>REF</v>
          </cell>
          <cell r="H216">
            <v>11.25</v>
          </cell>
          <cell r="I216">
            <v>0</v>
          </cell>
        </row>
        <row r="217">
          <cell r="B217" t="str">
            <v>0201423624686</v>
          </cell>
          <cell r="C217" t="str">
            <v>200 SALADS</v>
          </cell>
          <cell r="D217" t="str">
            <v>R</v>
          </cell>
          <cell r="E217" t="str">
            <v>cl</v>
          </cell>
          <cell r="F217" t="str">
            <v>Barlow, Melissa ; Ashcraft, Stephanie</v>
          </cell>
          <cell r="G217" t="str">
            <v>COOK</v>
          </cell>
          <cell r="H217">
            <v>3.79</v>
          </cell>
          <cell r="I217">
            <v>0</v>
          </cell>
        </row>
        <row r="218">
          <cell r="B218" t="str">
            <v>0201423630533</v>
          </cell>
          <cell r="C218" t="str">
            <v>NIGHT BEFORE CHRISTMAS IN PARI</v>
          </cell>
          <cell r="D218" t="str">
            <v>R</v>
          </cell>
          <cell r="E218" t="str">
            <v>CL</v>
          </cell>
          <cell r="F218" t="str">
            <v>Phillips, Betty Lou ; Herndon, Roblyn</v>
          </cell>
          <cell r="G218" t="str">
            <v>FICT</v>
          </cell>
          <cell r="H218">
            <v>2.99</v>
          </cell>
          <cell r="I218">
            <v>0</v>
          </cell>
        </row>
        <row r="219">
          <cell r="B219" t="str">
            <v>0201423630595</v>
          </cell>
          <cell r="C219" t="str">
            <v>STORIES IN STONE PARIS</v>
          </cell>
          <cell r="D219" t="str">
            <v>R</v>
          </cell>
          <cell r="E219" t="str">
            <v>CL</v>
          </cell>
          <cell r="F219" t="str">
            <v>Keister, Doug</v>
          </cell>
          <cell r="G219" t="str">
            <v>TRAV</v>
          </cell>
          <cell r="H219">
            <v>6.25</v>
          </cell>
          <cell r="I219">
            <v>100</v>
          </cell>
        </row>
        <row r="220">
          <cell r="B220" t="str">
            <v>0201423630625</v>
          </cell>
          <cell r="C220" t="str">
            <v>PLANT FOOD</v>
          </cell>
          <cell r="D220" t="str">
            <v>R</v>
          </cell>
          <cell r="E220" t="str">
            <v>PB</v>
          </cell>
          <cell r="F220" t="str">
            <v>Kenney, Matthew ; Baird, Meredith ; Winegard, Scott</v>
          </cell>
          <cell r="G220" t="str">
            <v>COOK</v>
          </cell>
          <cell r="H220">
            <v>5</v>
          </cell>
          <cell r="I220">
            <v>0</v>
          </cell>
        </row>
        <row r="221">
          <cell r="B221" t="str">
            <v>0201423630687</v>
          </cell>
          <cell r="C221" t="str">
            <v>RUSTIC WEDDING CHIC</v>
          </cell>
          <cell r="D221" t="str">
            <v>R</v>
          </cell>
          <cell r="E221" t="str">
            <v>CL</v>
          </cell>
          <cell r="F221" t="str">
            <v>Lord, Maggie</v>
          </cell>
          <cell r="G221" t="str">
            <v>REF</v>
          </cell>
          <cell r="H221">
            <v>7.99</v>
          </cell>
          <cell r="I221">
            <v>69</v>
          </cell>
        </row>
        <row r="222">
          <cell r="B222" t="str">
            <v>0201423631196</v>
          </cell>
          <cell r="C222" t="str">
            <v>PIE POPS</v>
          </cell>
          <cell r="D222" t="str">
            <v>R</v>
          </cell>
          <cell r="E222" t="str">
            <v>CL</v>
          </cell>
          <cell r="F222" t="str">
            <v>Ballard, Marcie</v>
          </cell>
          <cell r="G222" t="str">
            <v>COOK</v>
          </cell>
          <cell r="H222">
            <v>5</v>
          </cell>
          <cell r="I222">
            <v>45</v>
          </cell>
        </row>
        <row r="223">
          <cell r="B223" t="str">
            <v>0201423631684</v>
          </cell>
          <cell r="C223" t="str">
            <v>CAMPING DOODLES</v>
          </cell>
          <cell r="D223" t="str">
            <v>R</v>
          </cell>
          <cell r="E223" t="str">
            <v>PB</v>
          </cell>
          <cell r="F223" t="str">
            <v>Wood, Anita ; Sabatino, Chris</v>
          </cell>
          <cell r="G223" t="str">
            <v>CHAA</v>
          </cell>
          <cell r="H223">
            <v>2.49</v>
          </cell>
          <cell r="I223">
            <v>0</v>
          </cell>
        </row>
        <row r="224">
          <cell r="B224" t="str">
            <v>0201423632315</v>
          </cell>
          <cell r="C224" t="str">
            <v>TAO OF SURVIVAL SKILLS TO KEEP</v>
          </cell>
          <cell r="D224" t="str">
            <v>R</v>
          </cell>
          <cell r="E224" t="str">
            <v>PB</v>
          </cell>
          <cell r="F224" t="str">
            <v>Ayres, James</v>
          </cell>
          <cell r="G224" t="str">
            <v>SELF</v>
          </cell>
          <cell r="H224">
            <v>4.75</v>
          </cell>
          <cell r="I224">
            <v>135</v>
          </cell>
        </row>
        <row r="225">
          <cell r="B225" t="str">
            <v>0201423633237</v>
          </cell>
          <cell r="C225" t="str">
            <v>SO JANE</v>
          </cell>
          <cell r="D225" t="str">
            <v>R</v>
          </cell>
          <cell r="E225" t="str">
            <v>PB</v>
          </cell>
          <cell r="F225" t="str">
            <v>Keith, Hollie ; Adams, Jennifer</v>
          </cell>
          <cell r="G225" t="str">
            <v>CRAF</v>
          </cell>
          <cell r="H225">
            <v>5</v>
          </cell>
          <cell r="I225">
            <v>60</v>
          </cell>
        </row>
        <row r="226">
          <cell r="B226" t="str">
            <v>0201423633923</v>
          </cell>
          <cell r="C226" t="str">
            <v>COWBOY DOODLES</v>
          </cell>
          <cell r="D226" t="str">
            <v>R</v>
          </cell>
          <cell r="E226" t="str">
            <v>pb</v>
          </cell>
          <cell r="F226" t="str">
            <v>Brockschmidt, Kev ; Wood, Anita</v>
          </cell>
          <cell r="G226" t="str">
            <v>CHAA</v>
          </cell>
          <cell r="H226">
            <v>2.49</v>
          </cell>
          <cell r="I226">
            <v>56</v>
          </cell>
        </row>
        <row r="227">
          <cell r="B227" t="str">
            <v>0201423633978</v>
          </cell>
          <cell r="C227" t="str">
            <v>BIG BOOK OF SUPERHEROES</v>
          </cell>
          <cell r="D227" t="str">
            <v>R</v>
          </cell>
          <cell r="E227" t="str">
            <v>CL</v>
          </cell>
          <cell r="F227" t="str">
            <v>Paprocki, Greg ; King, Bart</v>
          </cell>
          <cell r="G227" t="str">
            <v>CHIL</v>
          </cell>
          <cell r="H227">
            <v>5</v>
          </cell>
          <cell r="I227">
            <v>98</v>
          </cell>
        </row>
        <row r="228">
          <cell r="B228" t="str">
            <v>0201423634050</v>
          </cell>
          <cell r="C228" t="str">
            <v>PARTY IN A JAR</v>
          </cell>
          <cell r="D228" t="str">
            <v>R</v>
          </cell>
          <cell r="E228" t="str">
            <v>PB</v>
          </cell>
          <cell r="F228" t="str">
            <v>Coppola, Vanessa ; Roberts, Jennifer</v>
          </cell>
          <cell r="G228" t="str">
            <v>CHIL</v>
          </cell>
          <cell r="H228">
            <v>1.99</v>
          </cell>
          <cell r="I228">
            <v>65</v>
          </cell>
        </row>
        <row r="229">
          <cell r="B229" t="str">
            <v>0201423634173</v>
          </cell>
          <cell r="C229" t="str">
            <v>ZOMBIE CATCHER'S HANDBOOK</v>
          </cell>
          <cell r="D229" t="str">
            <v>R</v>
          </cell>
          <cell r="E229" t="str">
            <v>CL</v>
          </cell>
          <cell r="F229" t="str">
            <v>Doyle, James ; Brozyna, Andrew</v>
          </cell>
          <cell r="G229" t="str">
            <v>CHIL</v>
          </cell>
          <cell r="H229">
            <v>3.75</v>
          </cell>
          <cell r="I229">
            <v>0</v>
          </cell>
        </row>
        <row r="230">
          <cell r="B230" t="str">
            <v>0201423634579</v>
          </cell>
          <cell r="C230" t="str">
            <v>ANIMAL DOODLES FOR KIDS</v>
          </cell>
          <cell r="D230" t="str">
            <v>R</v>
          </cell>
          <cell r="E230" t="str">
            <v>pb</v>
          </cell>
          <cell r="F230" t="str">
            <v>Sabatino, Chris</v>
          </cell>
          <cell r="G230" t="str">
            <v>CHAA</v>
          </cell>
          <cell r="H230">
            <v>2.49</v>
          </cell>
          <cell r="I230">
            <v>65</v>
          </cell>
        </row>
        <row r="231">
          <cell r="B231" t="str">
            <v>0201423634807</v>
          </cell>
          <cell r="C231" t="str">
            <v>EVERYDAY RAW GOURMET</v>
          </cell>
          <cell r="D231" t="str">
            <v>R</v>
          </cell>
          <cell r="E231" t="str">
            <v>pb</v>
          </cell>
          <cell r="F231" t="str">
            <v>Kenney, Matthew ; Matei, Miha</v>
          </cell>
          <cell r="G231" t="str">
            <v>COOK</v>
          </cell>
          <cell r="H231">
            <v>5</v>
          </cell>
          <cell r="I231">
            <v>0</v>
          </cell>
        </row>
        <row r="232">
          <cell r="B232" t="str">
            <v>0201423634906</v>
          </cell>
          <cell r="C232" t="str">
            <v>MAISON SAJOU SEWING BOOK</v>
          </cell>
          <cell r="D232" t="str">
            <v>R</v>
          </cell>
          <cell r="E232" t="str">
            <v>CL</v>
          </cell>
          <cell r="F232" t="str">
            <v>Ganderton, Lucinda</v>
          </cell>
          <cell r="G232" t="str">
            <v>CRAF</v>
          </cell>
          <cell r="H232">
            <v>7.99</v>
          </cell>
          <cell r="I232">
            <v>78</v>
          </cell>
        </row>
        <row r="233">
          <cell r="B233" t="str">
            <v>0201423635286</v>
          </cell>
          <cell r="C233" t="str">
            <v>EDGAR GETS READY FOR BED</v>
          </cell>
          <cell r="D233" t="str">
            <v>R</v>
          </cell>
          <cell r="E233" t="str">
            <v>CL</v>
          </cell>
          <cell r="F233" t="str">
            <v>Stucki, Ron ; Adams, Jennifer</v>
          </cell>
          <cell r="G233" t="str">
            <v>CHIL</v>
          </cell>
          <cell r="H233">
            <v>4.25</v>
          </cell>
          <cell r="I233">
            <v>90</v>
          </cell>
        </row>
        <row r="234">
          <cell r="B234" t="str">
            <v>0201423635545</v>
          </cell>
          <cell r="C234" t="str">
            <v>CLASSIC POETRY FOR DOGS</v>
          </cell>
          <cell r="D234" t="str">
            <v>R</v>
          </cell>
          <cell r="E234" t="str">
            <v>CL</v>
          </cell>
          <cell r="F234" t="str">
            <v>Swaim, Jessica ; Phillips, Chet</v>
          </cell>
          <cell r="G234" t="str">
            <v>HUM</v>
          </cell>
          <cell r="H234">
            <v>3.25</v>
          </cell>
          <cell r="I234">
            <v>120</v>
          </cell>
        </row>
        <row r="235">
          <cell r="B235" t="str">
            <v>0201423636078</v>
          </cell>
          <cell r="C235" t="str">
            <v>FASHION DOODLES</v>
          </cell>
          <cell r="D235" t="str">
            <v>R</v>
          </cell>
          <cell r="E235" t="str">
            <v>PB</v>
          </cell>
          <cell r="F235" t="str">
            <v>Wood, Anita ; Kalis, Jennifer</v>
          </cell>
          <cell r="G235" t="str">
            <v>CHAA</v>
          </cell>
          <cell r="H235">
            <v>4.25</v>
          </cell>
          <cell r="I235">
            <v>0</v>
          </cell>
        </row>
        <row r="236">
          <cell r="B236" t="str">
            <v>0201423636214</v>
          </cell>
          <cell r="C236" t="str">
            <v>CANADA DOODLES</v>
          </cell>
          <cell r="D236" t="str">
            <v>R</v>
          </cell>
          <cell r="E236" t="str">
            <v>PB</v>
          </cell>
          <cell r="F236" t="str">
            <v>Radford, Megan ; Cook, Peter</v>
          </cell>
          <cell r="G236" t="str">
            <v>CHAA</v>
          </cell>
          <cell r="H236">
            <v>2.49</v>
          </cell>
          <cell r="I236">
            <v>6641</v>
          </cell>
        </row>
        <row r="237">
          <cell r="B237" t="str">
            <v>0201423636313</v>
          </cell>
          <cell r="C237" t="str">
            <v>WILEY'S CHAMPIONSHIP BARBECUE:</v>
          </cell>
          <cell r="D237" t="str">
            <v>R</v>
          </cell>
          <cell r="E237" t="str">
            <v>CL</v>
          </cell>
          <cell r="F237" t="str">
            <v>McCrary, Wiley ; McCrary, Janet ; Condon, Amy</v>
          </cell>
          <cell r="G237" t="str">
            <v>COOK</v>
          </cell>
          <cell r="H237">
            <v>5</v>
          </cell>
          <cell r="I237">
            <v>280</v>
          </cell>
        </row>
        <row r="238">
          <cell r="B238" t="str">
            <v>0201423636467</v>
          </cell>
          <cell r="C238" t="str">
            <v>AUNTY ACID WITH AGE COMES WISD</v>
          </cell>
          <cell r="D238" t="str">
            <v>R</v>
          </cell>
          <cell r="E238" t="str">
            <v>CL</v>
          </cell>
          <cell r="F238" t="str">
            <v>Backland, Ged</v>
          </cell>
          <cell r="G238" t="str">
            <v>HUM</v>
          </cell>
          <cell r="H238">
            <v>2.5</v>
          </cell>
          <cell r="I238">
            <v>400</v>
          </cell>
        </row>
        <row r="239">
          <cell r="B239" t="str">
            <v>0201423636580</v>
          </cell>
          <cell r="C239" t="str">
            <v>TRADITIONAL INTERIORS</v>
          </cell>
          <cell r="D239" t="str">
            <v>R</v>
          </cell>
          <cell r="E239" t="str">
            <v>CL</v>
          </cell>
          <cell r="F239" t="str">
            <v>Coleman, Brian ; Kvalsvik, Erik</v>
          </cell>
          <cell r="G239" t="str">
            <v>DESI</v>
          </cell>
          <cell r="H239">
            <v>11.99</v>
          </cell>
          <cell r="I239">
            <v>40</v>
          </cell>
        </row>
        <row r="240">
          <cell r="B240" t="str">
            <v>0201423636702</v>
          </cell>
          <cell r="C240" t="str">
            <v>GOODNIGHT MR. DARCY</v>
          </cell>
          <cell r="D240" t="str">
            <v>R</v>
          </cell>
          <cell r="E240" t="str">
            <v>CL</v>
          </cell>
          <cell r="F240" t="str">
            <v>Coombs, Kate ; Arnold, Alli</v>
          </cell>
          <cell r="G240" t="str">
            <v>CHIL</v>
          </cell>
          <cell r="H240">
            <v>4.25</v>
          </cell>
          <cell r="I240">
            <v>618</v>
          </cell>
        </row>
        <row r="241">
          <cell r="B241" t="str">
            <v>0201423636917</v>
          </cell>
          <cell r="C241" t="str">
            <v>101 THINGS TO DO WITH A PI</v>
          </cell>
          <cell r="D241" t="str">
            <v>R</v>
          </cell>
          <cell r="E241" t="str">
            <v>CL</v>
          </cell>
          <cell r="F241" t="str">
            <v>Cross, Eliza</v>
          </cell>
          <cell r="G241" t="str">
            <v>COOK</v>
          </cell>
          <cell r="H241">
            <v>2.5</v>
          </cell>
          <cell r="I241">
            <v>0</v>
          </cell>
        </row>
        <row r="242">
          <cell r="B242" t="str">
            <v>0201423637358</v>
          </cell>
          <cell r="C242" t="str">
            <v>MODERN MIX</v>
          </cell>
          <cell r="D242" t="str">
            <v>R</v>
          </cell>
          <cell r="E242" t="str">
            <v>CL</v>
          </cell>
          <cell r="F242" t="str">
            <v>Ross, Eddie ; Kochar, Jaithan ; Williams, Bunny</v>
          </cell>
          <cell r="G242" t="str">
            <v>DESI</v>
          </cell>
          <cell r="H242">
            <v>11.99</v>
          </cell>
          <cell r="I242">
            <v>144</v>
          </cell>
        </row>
        <row r="243">
          <cell r="B243" t="str">
            <v>0201423637662</v>
          </cell>
          <cell r="C243" t="str">
            <v>EDGAR AND THE TATTLE-TALE HEAR</v>
          </cell>
          <cell r="D243" t="str">
            <v>R</v>
          </cell>
          <cell r="E243" t="str">
            <v>CL</v>
          </cell>
          <cell r="F243" t="str">
            <v>Adams, Jennifer ; Stucki, Ron</v>
          </cell>
          <cell r="G243" t="str">
            <v>CHIL</v>
          </cell>
          <cell r="H243">
            <v>4.25</v>
          </cell>
          <cell r="I243">
            <v>155</v>
          </cell>
        </row>
        <row r="244">
          <cell r="B244" t="str">
            <v>0201423637945</v>
          </cell>
          <cell r="C244" t="str">
            <v>CAMPING IN THE OLD STYLE</v>
          </cell>
          <cell r="D244" t="str">
            <v>R</v>
          </cell>
          <cell r="E244" t="str">
            <v>CL</v>
          </cell>
          <cell r="F244" t="str">
            <v>Wescott, David</v>
          </cell>
          <cell r="G244" t="str">
            <v>SPOR</v>
          </cell>
          <cell r="H244">
            <v>7.99</v>
          </cell>
          <cell r="I244">
            <v>416</v>
          </cell>
        </row>
        <row r="245">
          <cell r="B245" t="str">
            <v>0201423638485</v>
          </cell>
          <cell r="C245" t="str">
            <v>CREATIVE COTTAGE</v>
          </cell>
          <cell r="D245" t="str">
            <v>R</v>
          </cell>
          <cell r="E245" t="str">
            <v>CL</v>
          </cell>
          <cell r="F245" t="str">
            <v>Gross, Steve ; Daley, Susan</v>
          </cell>
          <cell r="G245" t="str">
            <v>DESI</v>
          </cell>
          <cell r="H245">
            <v>9.99</v>
          </cell>
          <cell r="I245">
            <v>0</v>
          </cell>
        </row>
        <row r="246">
          <cell r="B246" t="str">
            <v>0201423638935</v>
          </cell>
          <cell r="C246" t="str">
            <v>SLIDING IN THE SNOW</v>
          </cell>
          <cell r="D246" t="str">
            <v>R</v>
          </cell>
          <cell r="E246" t="str">
            <v>PB</v>
          </cell>
          <cell r="F246" t="str">
            <v>Dymock, Melissa ; Lee, Fran</v>
          </cell>
          <cell r="G246" t="str">
            <v>CHIL</v>
          </cell>
          <cell r="H246">
            <v>2.99</v>
          </cell>
          <cell r="I246">
            <v>91</v>
          </cell>
        </row>
        <row r="247">
          <cell r="B247" t="str">
            <v>0201423639680</v>
          </cell>
          <cell r="C247" t="str">
            <v>AUNTY ACID'S OFFICE MANUAL</v>
          </cell>
          <cell r="D247" t="str">
            <v>R</v>
          </cell>
          <cell r="E247" t="str">
            <v>CL</v>
          </cell>
          <cell r="F247" t="str">
            <v>Backland, Ged</v>
          </cell>
          <cell r="G247" t="str">
            <v>HUM</v>
          </cell>
          <cell r="H247">
            <v>2.99</v>
          </cell>
          <cell r="I247">
            <v>2068</v>
          </cell>
        </row>
        <row r="248">
          <cell r="B248" t="str">
            <v>0201423640365</v>
          </cell>
          <cell r="C248" t="str">
            <v>ISRAEL EATS</v>
          </cell>
          <cell r="D248" t="str">
            <v>R</v>
          </cell>
          <cell r="E248" t="str">
            <v>CL</v>
          </cell>
          <cell r="F248" t="str">
            <v>Rothfeld, Steven</v>
          </cell>
          <cell r="G248" t="str">
            <v>COOK</v>
          </cell>
          <cell r="H248">
            <v>12.5</v>
          </cell>
          <cell r="I248">
            <v>0</v>
          </cell>
        </row>
        <row r="249">
          <cell r="B249" t="str">
            <v>0201423640655</v>
          </cell>
          <cell r="C249" t="str">
            <v>PIEROGI LOVE</v>
          </cell>
          <cell r="D249" t="str">
            <v>R</v>
          </cell>
          <cell r="E249" t="str">
            <v>CL</v>
          </cell>
          <cell r="F249" t="str">
            <v>Barber, Casey</v>
          </cell>
          <cell r="G249" t="str">
            <v>COOK</v>
          </cell>
          <cell r="H249">
            <v>5.99</v>
          </cell>
          <cell r="I249">
            <v>87</v>
          </cell>
        </row>
        <row r="250">
          <cell r="B250" t="str">
            <v>0201423640839</v>
          </cell>
          <cell r="C250" t="str">
            <v>101 THINGS TO DO WITH PUMPKIN</v>
          </cell>
          <cell r="D250" t="str">
            <v>R</v>
          </cell>
          <cell r="E250" t="str">
            <v>SB</v>
          </cell>
          <cell r="F250" t="str">
            <v>Cross, Eliza</v>
          </cell>
          <cell r="G250" t="str">
            <v>COOK</v>
          </cell>
          <cell r="H250">
            <v>2.99</v>
          </cell>
          <cell r="I250">
            <v>659</v>
          </cell>
        </row>
        <row r="251">
          <cell r="B251" t="str">
            <v>0201423641157</v>
          </cell>
          <cell r="C251" t="str">
            <v>POCKETDOODLES FOR CHRISTMAS</v>
          </cell>
          <cell r="D251" t="str">
            <v>R</v>
          </cell>
          <cell r="E251" t="str">
            <v>PB</v>
          </cell>
          <cell r="F251" t="str">
            <v>Wood, Anita ; Brockschmidt, Kev</v>
          </cell>
          <cell r="G251" t="str">
            <v>CHAA</v>
          </cell>
          <cell r="H251">
            <v>2.49</v>
          </cell>
          <cell r="I251">
            <v>1395</v>
          </cell>
        </row>
        <row r="252">
          <cell r="B252" t="str">
            <v>0201423642154</v>
          </cell>
          <cell r="C252" t="str">
            <v>SUMMER WALK</v>
          </cell>
          <cell r="D252" t="str">
            <v>R</v>
          </cell>
          <cell r="E252" t="str">
            <v>CL</v>
          </cell>
          <cell r="F252" t="str">
            <v>Snow, Virginia</v>
          </cell>
          <cell r="G252" t="str">
            <v>CHIL</v>
          </cell>
          <cell r="H252">
            <v>6</v>
          </cell>
          <cell r="I252">
            <v>64</v>
          </cell>
        </row>
        <row r="253">
          <cell r="B253" t="str">
            <v>0201423644202</v>
          </cell>
          <cell r="C253" t="str">
            <v>S IS FOR SABERTOOTH: A STONE A</v>
          </cell>
          <cell r="D253" t="str">
            <v>R</v>
          </cell>
          <cell r="E253" t="str">
            <v>BD</v>
          </cell>
          <cell r="F253" t="str">
            <v>Paprocki, Greg</v>
          </cell>
          <cell r="G253" t="str">
            <v>CHIL</v>
          </cell>
          <cell r="H253">
            <v>3.5</v>
          </cell>
          <cell r="I253">
            <v>0</v>
          </cell>
        </row>
        <row r="254">
          <cell r="B254" t="str">
            <v>0201423644448</v>
          </cell>
          <cell r="C254" t="str">
            <v>HOW D'YA LIKE THEM APPLES</v>
          </cell>
          <cell r="D254" t="str">
            <v>R</v>
          </cell>
          <cell r="E254" t="str">
            <v>CL</v>
          </cell>
          <cell r="F254" t="str">
            <v>Baird, Madge</v>
          </cell>
          <cell r="G254" t="str">
            <v>COOK</v>
          </cell>
          <cell r="H254">
            <v>4.99</v>
          </cell>
          <cell r="I254">
            <v>249</v>
          </cell>
        </row>
        <row r="255">
          <cell r="B255" t="str">
            <v>0201423644479</v>
          </cell>
          <cell r="C255" t="str">
            <v>MASHED</v>
          </cell>
          <cell r="D255" t="str">
            <v>R</v>
          </cell>
          <cell r="E255" t="str">
            <v>CL</v>
          </cell>
          <cell r="F255" t="str">
            <v>Herrick, Holly</v>
          </cell>
          <cell r="G255" t="str">
            <v>COOK</v>
          </cell>
          <cell r="H255">
            <v>9</v>
          </cell>
          <cell r="I255">
            <v>0</v>
          </cell>
        </row>
        <row r="256">
          <cell r="B256" t="str">
            <v>0201423644776</v>
          </cell>
          <cell r="C256" t="str">
            <v>YOU ARE THE PEARL IN MY OYSTER</v>
          </cell>
          <cell r="D256" t="str">
            <v>R</v>
          </cell>
          <cell r="E256" t="str">
            <v>CL</v>
          </cell>
          <cell r="F256" t="str">
            <v>Hatter, Sky</v>
          </cell>
          <cell r="G256" t="str">
            <v>SELF</v>
          </cell>
          <cell r="H256">
            <v>2.75</v>
          </cell>
          <cell r="I256">
            <v>0</v>
          </cell>
        </row>
        <row r="257">
          <cell r="B257" t="str">
            <v>0201423644806</v>
          </cell>
          <cell r="C257" t="str">
            <v>I BELIEVE IN YOU</v>
          </cell>
          <cell r="D257" t="str">
            <v>R</v>
          </cell>
          <cell r="E257" t="str">
            <v>CL</v>
          </cell>
          <cell r="F257" t="str">
            <v>Hatter, Sky</v>
          </cell>
          <cell r="G257" t="str">
            <v>SELF</v>
          </cell>
          <cell r="H257">
            <v>1.99</v>
          </cell>
          <cell r="I257">
            <v>0</v>
          </cell>
        </row>
        <row r="258">
          <cell r="B258" t="str">
            <v>0201423644837</v>
          </cell>
          <cell r="C258" t="str">
            <v>PRECIATE-CHA!</v>
          </cell>
          <cell r="D258" t="str">
            <v>R</v>
          </cell>
          <cell r="E258" t="str">
            <v>CL</v>
          </cell>
          <cell r="F258" t="str">
            <v>Hatter, Sky</v>
          </cell>
          <cell r="G258" t="str">
            <v>SELF</v>
          </cell>
          <cell r="H258">
            <v>2.75</v>
          </cell>
          <cell r="I258">
            <v>0</v>
          </cell>
        </row>
        <row r="259">
          <cell r="B259" t="str">
            <v>0201423644929</v>
          </cell>
          <cell r="C259" t="str">
            <v>SAVAGE SALADS</v>
          </cell>
          <cell r="D259" t="str">
            <v>R</v>
          </cell>
          <cell r="E259" t="str">
            <v>CL</v>
          </cell>
          <cell r="F259" t="str">
            <v>Del Gatto, Davide ; Gustafsson, Kristina</v>
          </cell>
          <cell r="G259" t="str">
            <v>COOK</v>
          </cell>
          <cell r="H259">
            <v>7</v>
          </cell>
          <cell r="I259">
            <v>600</v>
          </cell>
        </row>
        <row r="260">
          <cell r="B260" t="str">
            <v>0201423644936</v>
          </cell>
          <cell r="C260" t="str">
            <v>EDGAR AND THE TREE HOUSE OF US</v>
          </cell>
          <cell r="D260" t="str">
            <v>R</v>
          </cell>
          <cell r="E260" t="str">
            <v>BD</v>
          </cell>
          <cell r="F260" t="str">
            <v>Adams, Jennifer ; Stucki, Ron</v>
          </cell>
          <cell r="G260" t="str">
            <v>CHIL</v>
          </cell>
          <cell r="H260">
            <v>2.99</v>
          </cell>
          <cell r="I260">
            <v>487</v>
          </cell>
        </row>
        <row r="261">
          <cell r="B261" t="str">
            <v>0201423645810</v>
          </cell>
          <cell r="C261" t="str">
            <v>STORY GARDEN</v>
          </cell>
          <cell r="D261" t="str">
            <v>R</v>
          </cell>
          <cell r="E261" t="str">
            <v>CL</v>
          </cell>
          <cell r="F261" t="str">
            <v>Sheppard Buchert, Ellen ; Buchert, Ellen ; Buchert Smith, Johanna</v>
          </cell>
          <cell r="G261" t="str">
            <v>GARD</v>
          </cell>
          <cell r="H261">
            <v>7</v>
          </cell>
          <cell r="I261">
            <v>220</v>
          </cell>
        </row>
        <row r="262">
          <cell r="B262" t="str">
            <v>0201423646572</v>
          </cell>
          <cell r="C262" t="str">
            <v>SUMMER NIGHTS ARTIST'S ED</v>
          </cell>
          <cell r="D262" t="str">
            <v>R</v>
          </cell>
          <cell r="E262" t="str">
            <v>PB</v>
          </cell>
          <cell r="F262" t="str">
            <v>Karlzon, Hanna</v>
          </cell>
          <cell r="G262" t="str">
            <v>ARTS</v>
          </cell>
          <cell r="H262">
            <v>7</v>
          </cell>
          <cell r="I262">
            <v>440</v>
          </cell>
        </row>
        <row r="263">
          <cell r="B263" t="str">
            <v>0201423646602</v>
          </cell>
          <cell r="C263" t="str">
            <v>MAGICAL DAWN ARTIST'S ED</v>
          </cell>
          <cell r="D263" t="str">
            <v>R</v>
          </cell>
          <cell r="E263" t="str">
            <v>PB</v>
          </cell>
          <cell r="F263" t="str">
            <v>Karlzon, Hanna</v>
          </cell>
          <cell r="G263" t="str">
            <v>ARTS</v>
          </cell>
          <cell r="H263">
            <v>7</v>
          </cell>
          <cell r="I263">
            <v>440</v>
          </cell>
        </row>
        <row r="264">
          <cell r="B264" t="str">
            <v>0201423646619</v>
          </cell>
          <cell r="C264" t="str">
            <v>MAGICAL DAWN 20 POSTCARDS</v>
          </cell>
          <cell r="D264" t="str">
            <v>R</v>
          </cell>
          <cell r="E264" t="str">
            <v>PC</v>
          </cell>
          <cell r="F264" t="str">
            <v>Karlzon, Hanna</v>
          </cell>
          <cell r="G264" t="str">
            <v>ARTS</v>
          </cell>
          <cell r="H264">
            <v>3.5</v>
          </cell>
          <cell r="I264">
            <v>60</v>
          </cell>
        </row>
        <row r="265">
          <cell r="B265" t="str">
            <v>0201423646893</v>
          </cell>
          <cell r="C265" t="str">
            <v>WHEN I GROW UP . . .</v>
          </cell>
          <cell r="D265" t="str">
            <v>R</v>
          </cell>
          <cell r="E265" t="str">
            <v>CL</v>
          </cell>
          <cell r="F265" t="str">
            <v>Vasquez, Paula</v>
          </cell>
          <cell r="G265" t="str">
            <v>CHIL</v>
          </cell>
          <cell r="H265">
            <v>5.25</v>
          </cell>
          <cell r="I265">
            <v>266</v>
          </cell>
        </row>
        <row r="266">
          <cell r="B266" t="str">
            <v>0201423646916</v>
          </cell>
          <cell r="C266" t="str">
            <v>NOT WHAT IT SEEMS</v>
          </cell>
          <cell r="D266" t="str">
            <v>R</v>
          </cell>
          <cell r="E266" t="str">
            <v>CL</v>
          </cell>
          <cell r="F266" t="str">
            <v>Vasquez, Paula</v>
          </cell>
          <cell r="G266" t="str">
            <v>CHIL</v>
          </cell>
          <cell r="H266">
            <v>5.25</v>
          </cell>
          <cell r="I266">
            <v>304</v>
          </cell>
        </row>
        <row r="267">
          <cell r="B267" t="str">
            <v>0201423647029</v>
          </cell>
          <cell r="C267" t="str">
            <v>GOOD DOG</v>
          </cell>
          <cell r="D267" t="str">
            <v>R</v>
          </cell>
          <cell r="E267" t="str">
            <v>BD</v>
          </cell>
          <cell r="F267" t="str">
            <v>DeVries Sokol, Dawn</v>
          </cell>
          <cell r="G267" t="str">
            <v>CHIL</v>
          </cell>
          <cell r="H267">
            <v>3.5</v>
          </cell>
          <cell r="I267">
            <v>286</v>
          </cell>
        </row>
        <row r="268">
          <cell r="B268" t="str">
            <v>0201423647043</v>
          </cell>
          <cell r="C268" t="str">
            <v>HERE, KITTY, KITTY!</v>
          </cell>
          <cell r="D268" t="str">
            <v>R</v>
          </cell>
          <cell r="E268" t="str">
            <v>BD</v>
          </cell>
          <cell r="F268" t="str">
            <v>DeVries Sokol, Dawn</v>
          </cell>
          <cell r="G268" t="str">
            <v>CHIL</v>
          </cell>
          <cell r="H268">
            <v>3.5</v>
          </cell>
          <cell r="I268">
            <v>312</v>
          </cell>
        </row>
        <row r="269">
          <cell r="B269" t="str">
            <v>0201423647074</v>
          </cell>
          <cell r="C269" t="str">
            <v>TWILIGHT GARDEN ARTIST'S ED</v>
          </cell>
          <cell r="D269" t="str">
            <v>R</v>
          </cell>
          <cell r="E269" t="str">
            <v>PB</v>
          </cell>
          <cell r="F269" t="str">
            <v>Trolle, Maria</v>
          </cell>
          <cell r="G269" t="str">
            <v>ARTS</v>
          </cell>
          <cell r="H269">
            <v>7</v>
          </cell>
          <cell r="I269">
            <v>440</v>
          </cell>
        </row>
        <row r="270">
          <cell r="B270" t="str">
            <v>0201423647128</v>
          </cell>
          <cell r="C270" t="str">
            <v>SEASHORE STROLL</v>
          </cell>
          <cell r="D270" t="str">
            <v>R</v>
          </cell>
          <cell r="E270" t="str">
            <v>BD</v>
          </cell>
          <cell r="F270" t="str">
            <v>Sanders, Jane</v>
          </cell>
          <cell r="G270" t="str">
            <v>CHIL</v>
          </cell>
          <cell r="H270">
            <v>3.5</v>
          </cell>
          <cell r="I270">
            <v>104</v>
          </cell>
        </row>
        <row r="271">
          <cell r="B271" t="str">
            <v>0201423647142</v>
          </cell>
          <cell r="C271" t="str">
            <v>NIGHTTIME SLUMBER</v>
          </cell>
          <cell r="D271" t="str">
            <v>R</v>
          </cell>
          <cell r="E271" t="str">
            <v>BD</v>
          </cell>
          <cell r="F271" t="str">
            <v>Sanders, Jane</v>
          </cell>
          <cell r="G271" t="str">
            <v>CHIL</v>
          </cell>
          <cell r="H271">
            <v>3.5</v>
          </cell>
          <cell r="I271">
            <v>338</v>
          </cell>
        </row>
        <row r="272">
          <cell r="B272" t="str">
            <v>0201423647166</v>
          </cell>
          <cell r="C272" t="str">
            <v>WOODLAND WALK</v>
          </cell>
          <cell r="D272" t="str">
            <v>R</v>
          </cell>
          <cell r="E272" t="str">
            <v>BD</v>
          </cell>
          <cell r="F272" t="str">
            <v>Sanders, Jane</v>
          </cell>
          <cell r="G272" t="str">
            <v>CHIL</v>
          </cell>
          <cell r="H272">
            <v>3.5</v>
          </cell>
          <cell r="I272">
            <v>312</v>
          </cell>
        </row>
        <row r="273">
          <cell r="B273" t="str">
            <v>0201452100045</v>
          </cell>
          <cell r="C273" t="str">
            <v>I SCREAM! ICE CREAM!</v>
          </cell>
          <cell r="D273" t="str">
            <v>R</v>
          </cell>
          <cell r="E273" t="str">
            <v>Cl</v>
          </cell>
          <cell r="F273" t="str">
            <v>Rosenthal, Amy Krouse ; Bloch, Serge</v>
          </cell>
          <cell r="G273" t="str">
            <v>CHIL</v>
          </cell>
          <cell r="H273">
            <v>5</v>
          </cell>
          <cell r="I273">
            <v>0</v>
          </cell>
        </row>
        <row r="274">
          <cell r="B274" t="str">
            <v>0201452101097</v>
          </cell>
          <cell r="C274" t="str">
            <v>HOLIDAY CRAFTING AND BAKING WI</v>
          </cell>
          <cell r="D274" t="str">
            <v>R</v>
          </cell>
          <cell r="E274" t="str">
            <v>Pb</v>
          </cell>
          <cell r="F274" t="str">
            <v>Strand, Jessica ; Herring, Aimee</v>
          </cell>
          <cell r="G274" t="str">
            <v>CRAF</v>
          </cell>
          <cell r="H274">
            <v>5.99</v>
          </cell>
          <cell r="I274">
            <v>0</v>
          </cell>
        </row>
        <row r="275">
          <cell r="B275" t="str">
            <v>0201452101103</v>
          </cell>
          <cell r="C275" t="str">
            <v>GOOD NEWS, BAD NEWS</v>
          </cell>
          <cell r="D275" t="str">
            <v>R</v>
          </cell>
          <cell r="E275" t="str">
            <v>CL</v>
          </cell>
          <cell r="F275" t="str">
            <v>Mack, Jeff</v>
          </cell>
          <cell r="G275" t="str">
            <v>CHIL</v>
          </cell>
          <cell r="H275">
            <v>6</v>
          </cell>
          <cell r="I275">
            <v>0</v>
          </cell>
        </row>
        <row r="276">
          <cell r="B276" t="str">
            <v>0201452101219</v>
          </cell>
          <cell r="C276" t="str">
            <v>MOM, INC.</v>
          </cell>
          <cell r="D276" t="str">
            <v>R</v>
          </cell>
          <cell r="E276" t="str">
            <v>Pb</v>
          </cell>
          <cell r="F276" t="str">
            <v>Ilasco, Meg Mateo</v>
          </cell>
          <cell r="G276" t="str">
            <v>BUSI</v>
          </cell>
          <cell r="H276">
            <v>4.99</v>
          </cell>
          <cell r="I276">
            <v>0</v>
          </cell>
        </row>
        <row r="277">
          <cell r="B277" t="str">
            <v>0201452101295</v>
          </cell>
          <cell r="C277" t="str">
            <v>AIDA MOLLENKAMP'S KEYS TO THE </v>
          </cell>
          <cell r="D277" t="str">
            <v>R</v>
          </cell>
          <cell r="E277" t="str">
            <v>CL</v>
          </cell>
          <cell r="F277" t="str">
            <v>Mollenkamp, Aida ; Farnum, Alex</v>
          </cell>
          <cell r="G277" t="str">
            <v>COOK</v>
          </cell>
          <cell r="H277">
            <v>12</v>
          </cell>
          <cell r="I277">
            <v>0</v>
          </cell>
        </row>
        <row r="278">
          <cell r="B278" t="str">
            <v>0201452101417</v>
          </cell>
          <cell r="C278" t="str">
            <v>CRAFT, INC. REVISED ED</v>
          </cell>
          <cell r="D278" t="str">
            <v>R</v>
          </cell>
          <cell r="E278" t="str">
            <v>Pb</v>
          </cell>
          <cell r="F278" t="str">
            <v>Ilasco, Meg Mateo</v>
          </cell>
          <cell r="G278" t="str">
            <v>CRAF</v>
          </cell>
          <cell r="H278">
            <v>4.99</v>
          </cell>
          <cell r="I278">
            <v>0</v>
          </cell>
        </row>
        <row r="279">
          <cell r="B279" t="str">
            <v>0201452101929</v>
          </cell>
          <cell r="C279" t="str">
            <v>PERFECT POPS</v>
          </cell>
          <cell r="D279" t="str">
            <v>R</v>
          </cell>
          <cell r="E279" t="str">
            <v>Cl</v>
          </cell>
          <cell r="F279" t="str">
            <v>Ferreira, Charity</v>
          </cell>
          <cell r="G279" t="str">
            <v>COOK</v>
          </cell>
          <cell r="H279">
            <v>4.99</v>
          </cell>
          <cell r="I279">
            <v>0</v>
          </cell>
        </row>
        <row r="280">
          <cell r="B280" t="str">
            <v>0201452102056</v>
          </cell>
          <cell r="C280" t="str">
            <v>TRAVEL STUB DIARY</v>
          </cell>
          <cell r="D280" t="str">
            <v>R</v>
          </cell>
          <cell r="E280" t="str">
            <v>Jn</v>
          </cell>
          <cell r="F280" t="str">
            <v>Epstein, Eric</v>
          </cell>
          <cell r="G280" t="str">
            <v>GIFT</v>
          </cell>
          <cell r="H280">
            <v>4.99</v>
          </cell>
          <cell r="I280">
            <v>0</v>
          </cell>
        </row>
        <row r="281">
          <cell r="B281" t="str">
            <v>0201452102094</v>
          </cell>
          <cell r="C281" t="str">
            <v>VINTAGE WEDDING STYLE</v>
          </cell>
          <cell r="D281" t="str">
            <v>R</v>
          </cell>
          <cell r="E281" t="str">
            <v>CL</v>
          </cell>
          <cell r="F281" t="str">
            <v>Demos, Elizabeth</v>
          </cell>
          <cell r="G281" t="str">
            <v>REF</v>
          </cell>
          <cell r="H281">
            <v>10.5</v>
          </cell>
          <cell r="I281">
            <v>0</v>
          </cell>
        </row>
        <row r="282">
          <cell r="B282" t="str">
            <v>0201452102100</v>
          </cell>
          <cell r="C282" t="str">
            <v>SUDOKU 3: EXTREME TO GRAND MAS</v>
          </cell>
          <cell r="D282" t="str">
            <v>R</v>
          </cell>
          <cell r="E282" t="str">
            <v>Np</v>
          </cell>
          <cell r="G282" t="str">
            <v>GIFT</v>
          </cell>
          <cell r="H282">
            <v>2.24</v>
          </cell>
          <cell r="I282">
            <v>0</v>
          </cell>
        </row>
        <row r="283">
          <cell r="B283" t="str">
            <v>0201452102223</v>
          </cell>
          <cell r="C283" t="str">
            <v>JULIUS! I LOVE COLOR!</v>
          </cell>
          <cell r="D283" t="str">
            <v>R</v>
          </cell>
          <cell r="E283" t="str">
            <v>BD</v>
          </cell>
          <cell r="F283" t="str">
            <v>Gillingham, Sara</v>
          </cell>
          <cell r="G283" t="str">
            <v>CHIL</v>
          </cell>
          <cell r="H283">
            <v>2.5</v>
          </cell>
          <cell r="I283">
            <v>0</v>
          </cell>
        </row>
        <row r="284">
          <cell r="B284" t="str">
            <v>0201452102407</v>
          </cell>
          <cell r="C284" t="str">
            <v>BRIDESMAID GDE</v>
          </cell>
          <cell r="D284" t="str">
            <v>R</v>
          </cell>
          <cell r="E284" t="str">
            <v>Pb</v>
          </cell>
          <cell r="F284" t="str">
            <v>Walker, Neryl ; Chynoweth, Kate</v>
          </cell>
          <cell r="G284" t="str">
            <v>REF</v>
          </cell>
          <cell r="H284">
            <v>3.99</v>
          </cell>
          <cell r="I284">
            <v>0</v>
          </cell>
        </row>
        <row r="285">
          <cell r="B285" t="str">
            <v>0201452103039</v>
          </cell>
          <cell r="C285" t="str">
            <v>SLOW FIRE</v>
          </cell>
          <cell r="D285" t="str">
            <v>R</v>
          </cell>
          <cell r="E285" t="str">
            <v>Cl</v>
          </cell>
          <cell r="F285" t="str">
            <v>Lampe, Ray "DR. BBQ"</v>
          </cell>
          <cell r="G285" t="str">
            <v>COOK</v>
          </cell>
          <cell r="H285">
            <v>6.99</v>
          </cell>
          <cell r="I285">
            <v>0</v>
          </cell>
        </row>
        <row r="286">
          <cell r="B286" t="str">
            <v>0201452104685</v>
          </cell>
          <cell r="C286" t="str">
            <v>HUMPHRY SLOCOMBE ICE CREAM BOO</v>
          </cell>
          <cell r="D286" t="str">
            <v>R</v>
          </cell>
          <cell r="E286" t="str">
            <v>Pb</v>
          </cell>
          <cell r="F286" t="str">
            <v>Frankeny, Frankie ; Lucchesi, Paolo ; Godby, Jake</v>
          </cell>
          <cell r="G286" t="str">
            <v>COOK</v>
          </cell>
          <cell r="H286">
            <v>5.99</v>
          </cell>
          <cell r="I286">
            <v>100</v>
          </cell>
        </row>
        <row r="287">
          <cell r="B287" t="str">
            <v>0201452104692</v>
          </cell>
          <cell r="C287" t="str">
            <v>COOKING SLOW</v>
          </cell>
          <cell r="D287" t="str">
            <v>R</v>
          </cell>
          <cell r="E287" t="str">
            <v>CL</v>
          </cell>
          <cell r="F287" t="str">
            <v>Schloss, Andrew ; Benson, Alan</v>
          </cell>
          <cell r="G287" t="str">
            <v>COOK</v>
          </cell>
          <cell r="H287">
            <v>9.99</v>
          </cell>
          <cell r="I287">
            <v>390</v>
          </cell>
        </row>
        <row r="288">
          <cell r="B288" t="str">
            <v>0201452105255</v>
          </cell>
          <cell r="C288" t="str">
            <v>BIKE SNOB ABROAD</v>
          </cell>
          <cell r="D288" t="str">
            <v>R</v>
          </cell>
          <cell r="E288" t="str">
            <v>CL</v>
          </cell>
          <cell r="G288" t="str">
            <v>TRAV</v>
          </cell>
          <cell r="H288">
            <v>5.74</v>
          </cell>
          <cell r="I288">
            <v>0</v>
          </cell>
        </row>
        <row r="289">
          <cell r="B289" t="str">
            <v>0201452105453</v>
          </cell>
          <cell r="C289" t="str">
            <v>MOMA COLOR COLORING BOOK</v>
          </cell>
          <cell r="D289" t="str">
            <v>R</v>
          </cell>
          <cell r="E289" t="str">
            <v>JN</v>
          </cell>
          <cell r="F289" t="str">
            <v>Estellon, Pascal ; MoMA</v>
          </cell>
          <cell r="G289" t="str">
            <v>CHAA</v>
          </cell>
          <cell r="H289">
            <v>4.99</v>
          </cell>
          <cell r="I289">
            <v>37</v>
          </cell>
        </row>
        <row r="290">
          <cell r="B290" t="str">
            <v>0201452105941</v>
          </cell>
          <cell r="C290" t="str">
            <v>PARIS IN COLOR</v>
          </cell>
          <cell r="D290" t="str">
            <v>R</v>
          </cell>
          <cell r="E290" t="str">
            <v>Cl</v>
          </cell>
          <cell r="F290" t="str">
            <v>Robertson, Nichole</v>
          </cell>
          <cell r="G290" t="str">
            <v>PHOT</v>
          </cell>
          <cell r="H290">
            <v>6.99</v>
          </cell>
          <cell r="I290">
            <v>0</v>
          </cell>
        </row>
        <row r="291">
          <cell r="B291" t="str">
            <v>0201452106115</v>
          </cell>
          <cell r="C291" t="str">
            <v>AND THE STORY IS HAPPENING</v>
          </cell>
          <cell r="D291" t="str">
            <v>R</v>
          </cell>
          <cell r="E291" t="str">
            <v>Jn</v>
          </cell>
          <cell r="F291" t="str">
            <v>Harrison, Sabrina Ward</v>
          </cell>
          <cell r="G291" t="str">
            <v>GIFT</v>
          </cell>
          <cell r="H291">
            <v>5.99</v>
          </cell>
          <cell r="I291">
            <v>319</v>
          </cell>
        </row>
        <row r="292">
          <cell r="B292" t="str">
            <v>0201452106139</v>
          </cell>
          <cell r="C292" t="str">
            <v>PEACE, BABY!</v>
          </cell>
          <cell r="D292" t="str">
            <v>R</v>
          </cell>
          <cell r="E292" t="str">
            <v>CL</v>
          </cell>
          <cell r="F292" t="str">
            <v>Ashman, Linda ; Lew-Vriethoff, Joanne</v>
          </cell>
          <cell r="G292" t="str">
            <v>CHIL</v>
          </cell>
          <cell r="H292">
            <v>5.25</v>
          </cell>
          <cell r="I292">
            <v>0</v>
          </cell>
        </row>
        <row r="293">
          <cell r="B293" t="str">
            <v>0201452106146</v>
          </cell>
          <cell r="C293" t="str">
            <v>FLOUR, TOO</v>
          </cell>
          <cell r="D293" t="str">
            <v>R</v>
          </cell>
          <cell r="E293" t="str">
            <v>CL</v>
          </cell>
          <cell r="F293" t="str">
            <v>Chang, Joanne ; Turkell, Michael Harlan</v>
          </cell>
          <cell r="G293" t="str">
            <v>COOK</v>
          </cell>
          <cell r="H293">
            <v>12</v>
          </cell>
          <cell r="I293">
            <v>0</v>
          </cell>
        </row>
        <row r="294">
          <cell r="B294" t="str">
            <v>0201452106375</v>
          </cell>
          <cell r="C294" t="str">
            <v>LET'S DANCE WITH JULIUS AN</v>
          </cell>
          <cell r="D294" t="str">
            <v>R</v>
          </cell>
          <cell r="E294" t="str">
            <v>Bd</v>
          </cell>
          <cell r="G294" t="str">
            <v>CHIL</v>
          </cell>
          <cell r="H294">
            <v>3</v>
          </cell>
          <cell r="I294">
            <v>0</v>
          </cell>
        </row>
        <row r="295">
          <cell r="B295" t="str">
            <v>0201452106429</v>
          </cell>
          <cell r="C295" t="str">
            <v>YOU ARE MY BABY: SAFARI</v>
          </cell>
          <cell r="D295" t="str">
            <v>R</v>
          </cell>
          <cell r="E295" t="str">
            <v>BD</v>
          </cell>
          <cell r="F295" t="str">
            <v>Siminovich, Lorena</v>
          </cell>
          <cell r="G295" t="str">
            <v>CHIL</v>
          </cell>
          <cell r="H295">
            <v>2.99</v>
          </cell>
          <cell r="I295">
            <v>12</v>
          </cell>
        </row>
        <row r="296">
          <cell r="B296" t="str">
            <v>0201452106511</v>
          </cell>
          <cell r="C296" t="str">
            <v>FILM LISTOGRAPHY</v>
          </cell>
          <cell r="D296" t="str">
            <v>R</v>
          </cell>
          <cell r="E296" t="str">
            <v>Jn</v>
          </cell>
          <cell r="F296" t="str">
            <v>Nola, Lisa</v>
          </cell>
          <cell r="G296" t="str">
            <v>GIFT</v>
          </cell>
          <cell r="H296">
            <v>4.99</v>
          </cell>
          <cell r="I296">
            <v>0</v>
          </cell>
        </row>
        <row r="297">
          <cell r="B297" t="str">
            <v>0201452106573</v>
          </cell>
          <cell r="C297" t="str">
            <v>SIDE WALKS </v>
          </cell>
          <cell r="D297" t="str">
            <v>R</v>
          </cell>
          <cell r="E297" t="str">
            <v>Jn</v>
          </cell>
          <cell r="F297" t="str">
            <v>Pocrass, Kate</v>
          </cell>
          <cell r="G297" t="str">
            <v>GIFT</v>
          </cell>
          <cell r="H297">
            <v>5.99</v>
          </cell>
          <cell r="I297">
            <v>0</v>
          </cell>
        </row>
        <row r="298">
          <cell r="B298" t="str">
            <v>0201452106634</v>
          </cell>
          <cell r="C298" t="str">
            <v>STEP IT UP KNITS</v>
          </cell>
          <cell r="D298" t="str">
            <v>R</v>
          </cell>
          <cell r="E298" t="str">
            <v>PB</v>
          </cell>
          <cell r="F298" t="str">
            <v>Howell, Vickie ; Horton, Jody</v>
          </cell>
          <cell r="G298" t="str">
            <v>CRAF</v>
          </cell>
          <cell r="H298">
            <v>6.74</v>
          </cell>
          <cell r="I298">
            <v>0</v>
          </cell>
        </row>
        <row r="299">
          <cell r="B299" t="str">
            <v>0201452106658</v>
          </cell>
          <cell r="C299" t="str">
            <v>BABY BUMP: TWINS AND TRIPLETS </v>
          </cell>
          <cell r="D299" t="str">
            <v>R</v>
          </cell>
          <cell r="E299" t="str">
            <v>PB</v>
          </cell>
          <cell r="F299" t="str">
            <v>Roney, Carley</v>
          </cell>
          <cell r="G299" t="str">
            <v>FAMI</v>
          </cell>
          <cell r="H299">
            <v>6.74</v>
          </cell>
          <cell r="I299">
            <v>0</v>
          </cell>
        </row>
        <row r="300">
          <cell r="B300" t="str">
            <v>0201452107006</v>
          </cell>
          <cell r="C300" t="str">
            <v>CARPE DIEM JOURNAL</v>
          </cell>
          <cell r="D300" t="str">
            <v>R</v>
          </cell>
          <cell r="E300" t="str">
            <v>Jn</v>
          </cell>
          <cell r="F300" t="str">
            <v>McDevitt, Mary Kate</v>
          </cell>
          <cell r="G300" t="str">
            <v>GIFT</v>
          </cell>
          <cell r="H300">
            <v>5.63</v>
          </cell>
          <cell r="I300">
            <v>0</v>
          </cell>
        </row>
        <row r="301">
          <cell r="B301" t="str">
            <v>0201452107082</v>
          </cell>
          <cell r="C301" t="str">
            <v>GOOD FOOD, GREAT BUSINESS</v>
          </cell>
          <cell r="D301" t="str">
            <v>R</v>
          </cell>
          <cell r="E301" t="str">
            <v>PB</v>
          </cell>
          <cell r="F301" t="str">
            <v>Wyshak, Susie</v>
          </cell>
          <cell r="G301" t="str">
            <v>BUSI</v>
          </cell>
          <cell r="H301">
            <v>6.74</v>
          </cell>
          <cell r="I301">
            <v>0</v>
          </cell>
        </row>
        <row r="302">
          <cell r="B302" t="str">
            <v>0201452107532</v>
          </cell>
          <cell r="C302" t="str">
            <v>YOU'D BETTER NOT DIE OR I'LL K</v>
          </cell>
          <cell r="D302" t="str">
            <v>R</v>
          </cell>
          <cell r="E302" t="str">
            <v>PB</v>
          </cell>
          <cell r="F302" t="str">
            <v>Heller, Jane</v>
          </cell>
          <cell r="G302" t="str">
            <v>BIOG</v>
          </cell>
          <cell r="H302">
            <v>5.49</v>
          </cell>
          <cell r="I302">
            <v>0</v>
          </cell>
        </row>
        <row r="303">
          <cell r="B303" t="str">
            <v>0201452107549</v>
          </cell>
          <cell r="C303" t="str">
            <v>BRING THE OUTDOORS IN</v>
          </cell>
          <cell r="D303" t="str">
            <v>R</v>
          </cell>
          <cell r="E303" t="str">
            <v>CL</v>
          </cell>
          <cell r="F303" t="str">
            <v>Powers, Shane ; Cegielski, Jennifer</v>
          </cell>
          <cell r="G303" t="str">
            <v>DOIT</v>
          </cell>
          <cell r="H303">
            <v>8.49</v>
          </cell>
          <cell r="I303">
            <v>0</v>
          </cell>
        </row>
        <row r="304">
          <cell r="B304" t="str">
            <v>0201452107556</v>
          </cell>
          <cell r="C304" t="str">
            <v>BUS STOPS</v>
          </cell>
          <cell r="D304" t="str">
            <v>R</v>
          </cell>
          <cell r="E304" t="str">
            <v>BD</v>
          </cell>
          <cell r="F304" t="str">
            <v>Gomi, Taro</v>
          </cell>
          <cell r="G304" t="str">
            <v>CHIL</v>
          </cell>
          <cell r="H304">
            <v>2.25</v>
          </cell>
          <cell r="I304">
            <v>0</v>
          </cell>
        </row>
        <row r="305">
          <cell r="B305" t="str">
            <v>0201452107914</v>
          </cell>
          <cell r="C305" t="str">
            <v>NO LAND'S MAN</v>
          </cell>
          <cell r="D305" t="str">
            <v>R</v>
          </cell>
          <cell r="E305" t="str">
            <v>CL</v>
          </cell>
          <cell r="F305" t="str">
            <v>Mandvi, Aasif</v>
          </cell>
          <cell r="G305" t="str">
            <v>HUM</v>
          </cell>
          <cell r="H305">
            <v>7.99</v>
          </cell>
          <cell r="I305">
            <v>0</v>
          </cell>
        </row>
        <row r="306">
          <cell r="B306" t="str">
            <v>0201452108119</v>
          </cell>
          <cell r="C306" t="str">
            <v>LITTLE CHICKEN FINGER PUPPET B</v>
          </cell>
          <cell r="D306" t="str">
            <v>R</v>
          </cell>
          <cell r="E306" t="str">
            <v>Bd</v>
          </cell>
          <cell r="G306" t="str">
            <v>CHIL</v>
          </cell>
          <cell r="H306">
            <v>1.9</v>
          </cell>
          <cell r="I306">
            <v>0</v>
          </cell>
        </row>
        <row r="307">
          <cell r="B307" t="str">
            <v>0201452108140</v>
          </cell>
          <cell r="C307" t="str">
            <v>COLORASAURUS</v>
          </cell>
          <cell r="D307" t="str">
            <v>R</v>
          </cell>
          <cell r="E307" t="str">
            <v>BD</v>
          </cell>
          <cell r="F307" t="str">
            <v>Bryant, Megan E. ; Powell, Luciana Navarro</v>
          </cell>
          <cell r="G307" t="str">
            <v>CHIL</v>
          </cell>
          <cell r="H307">
            <v>2.99</v>
          </cell>
          <cell r="I307">
            <v>0</v>
          </cell>
        </row>
        <row r="308">
          <cell r="B308" t="str">
            <v>0201452108294</v>
          </cell>
          <cell r="C308" t="str">
            <v>BEST LUNCH BOX EVER</v>
          </cell>
          <cell r="D308" t="str">
            <v>R</v>
          </cell>
          <cell r="E308" t="str">
            <v>CL</v>
          </cell>
          <cell r="F308" t="str">
            <v>Morford, Katie Sullivan ; Martine, Jennifer</v>
          </cell>
          <cell r="G308" t="str">
            <v>COOK</v>
          </cell>
          <cell r="H308">
            <v>6.99</v>
          </cell>
          <cell r="I308">
            <v>368</v>
          </cell>
        </row>
        <row r="309">
          <cell r="B309" t="str">
            <v>0201452108348</v>
          </cell>
          <cell r="C309" t="str">
            <v>MOMMY! MOMMY!</v>
          </cell>
          <cell r="D309" t="str">
            <v>R</v>
          </cell>
          <cell r="E309" t="str">
            <v>BD</v>
          </cell>
          <cell r="F309" t="str">
            <v>Gomi, Taro</v>
          </cell>
          <cell r="G309" t="str">
            <v>CHIL</v>
          </cell>
          <cell r="H309">
            <v>2.25</v>
          </cell>
          <cell r="I309">
            <v>0</v>
          </cell>
        </row>
        <row r="310">
          <cell r="B310" t="str">
            <v>0201452108393</v>
          </cell>
          <cell r="C310" t="str">
            <v>TARO GOMI'S PLAYFUL PUZZLES FO</v>
          </cell>
          <cell r="D310" t="str">
            <v>R</v>
          </cell>
          <cell r="E310" t="str">
            <v>PB</v>
          </cell>
          <cell r="F310" t="str">
            <v>Gomi, Taro</v>
          </cell>
          <cell r="G310" t="str">
            <v>CHIL</v>
          </cell>
          <cell r="H310">
            <v>5</v>
          </cell>
          <cell r="I310">
            <v>0</v>
          </cell>
        </row>
        <row r="311">
          <cell r="B311" t="str">
            <v>0201452108447</v>
          </cell>
          <cell r="C311" t="str">
            <v>JOURNAL OF AWESOME</v>
          </cell>
          <cell r="D311" t="str">
            <v>R</v>
          </cell>
          <cell r="E311" t="str">
            <v>JN</v>
          </cell>
          <cell r="F311" t="str">
            <v>Pasricha, Neil</v>
          </cell>
          <cell r="G311" t="str">
            <v>SELF</v>
          </cell>
          <cell r="H311">
            <v>4.63</v>
          </cell>
          <cell r="I311">
            <v>0</v>
          </cell>
        </row>
        <row r="312">
          <cell r="B312" t="str">
            <v>0201452109192</v>
          </cell>
          <cell r="C312" t="str">
            <v>BOO ABC</v>
          </cell>
          <cell r="D312" t="str">
            <v>R</v>
          </cell>
          <cell r="E312" t="str">
            <v>CL</v>
          </cell>
          <cell r="F312" t="str">
            <v>Lee, J.H. ; LeMaistre, Gretchen</v>
          </cell>
          <cell r="G312" t="str">
            <v>CHIL</v>
          </cell>
          <cell r="H312">
            <v>4.25</v>
          </cell>
          <cell r="I312">
            <v>0</v>
          </cell>
        </row>
        <row r="313">
          <cell r="B313" t="str">
            <v>0201452109369</v>
          </cell>
          <cell r="C313" t="str">
            <v>STARTING TODAY</v>
          </cell>
          <cell r="D313" t="str">
            <v>R</v>
          </cell>
          <cell r="E313" t="str">
            <v>JN</v>
          </cell>
          <cell r="G313" t="str">
            <v>GIFT</v>
          </cell>
          <cell r="H313">
            <v>4.99</v>
          </cell>
          <cell r="I313">
            <v>0</v>
          </cell>
        </row>
        <row r="314">
          <cell r="B314" t="str">
            <v>0201452109482</v>
          </cell>
          <cell r="C314" t="str">
            <v>FISH</v>
          </cell>
          <cell r="D314" t="str">
            <v>R</v>
          </cell>
          <cell r="E314" t="str">
            <v>CL</v>
          </cell>
          <cell r="F314" t="str">
            <v>LeFavour, Cree ; Achilleos, Antonis</v>
          </cell>
          <cell r="G314" t="str">
            <v>COOK</v>
          </cell>
          <cell r="H314">
            <v>9.49</v>
          </cell>
          <cell r="I314">
            <v>0</v>
          </cell>
        </row>
        <row r="315">
          <cell r="B315" t="str">
            <v>0201452109529</v>
          </cell>
          <cell r="C315" t="str">
            <v>HOW TO BUILD A HOVERCRAFT</v>
          </cell>
          <cell r="D315" t="str">
            <v>R</v>
          </cell>
          <cell r="E315" t="str">
            <v>PB</v>
          </cell>
          <cell r="F315" t="str">
            <v>Voltz, Stephen ; Grobe, Fritz</v>
          </cell>
          <cell r="G315" t="str">
            <v>SCI</v>
          </cell>
          <cell r="H315">
            <v>7.99</v>
          </cell>
          <cell r="I315">
            <v>0</v>
          </cell>
        </row>
        <row r="316">
          <cell r="B316" t="str">
            <v>0201452109697</v>
          </cell>
          <cell r="C316" t="str">
            <v>TREME</v>
          </cell>
          <cell r="D316" t="str">
            <v>R</v>
          </cell>
          <cell r="E316" t="str">
            <v>CL</v>
          </cell>
          <cell r="F316" t="str">
            <v>Noble, Nina ; Elie, Lolis Eric ; Simon, David</v>
          </cell>
          <cell r="G316" t="str">
            <v>COOK</v>
          </cell>
          <cell r="H316">
            <v>7.99</v>
          </cell>
          <cell r="I316">
            <v>0</v>
          </cell>
        </row>
        <row r="317">
          <cell r="B317" t="str">
            <v>0201452109710</v>
          </cell>
          <cell r="C317" t="str">
            <v>BOO: LITTLE DOG IN THE BIG CIT</v>
          </cell>
          <cell r="D317" t="str">
            <v>R</v>
          </cell>
          <cell r="E317" t="str">
            <v>CL</v>
          </cell>
          <cell r="F317" t="str">
            <v>Lee, J.H.</v>
          </cell>
          <cell r="G317" t="str">
            <v>CHIL</v>
          </cell>
          <cell r="H317">
            <v>3.74</v>
          </cell>
          <cell r="I317">
            <v>0</v>
          </cell>
        </row>
        <row r="318">
          <cell r="B318" t="str">
            <v>0201452109734</v>
          </cell>
          <cell r="C318" t="str">
            <v>FEAST</v>
          </cell>
          <cell r="D318" t="str">
            <v>R</v>
          </cell>
          <cell r="E318" t="str">
            <v>CL</v>
          </cell>
          <cell r="F318" t="str">
            <v>Copeland, Sarah ; Kim, Yunhee</v>
          </cell>
          <cell r="G318" t="str">
            <v>COOK</v>
          </cell>
          <cell r="H318">
            <v>12</v>
          </cell>
          <cell r="I318">
            <v>0</v>
          </cell>
        </row>
        <row r="319">
          <cell r="B319" t="str">
            <v>0201452109741</v>
          </cell>
          <cell r="C319" t="str">
            <v>DRINK MORE WHISKEY</v>
          </cell>
          <cell r="D319" t="str">
            <v>R</v>
          </cell>
          <cell r="E319" t="str">
            <v>CL</v>
          </cell>
          <cell r="F319" t="str">
            <v>Yaffe, Daniel ; McDevitt, Mary Kate</v>
          </cell>
          <cell r="G319" t="str">
            <v>COOK</v>
          </cell>
          <cell r="H319">
            <v>6.99</v>
          </cell>
          <cell r="I319">
            <v>0</v>
          </cell>
        </row>
        <row r="320">
          <cell r="B320" t="str">
            <v>0201452109833</v>
          </cell>
          <cell r="C320" t="str">
            <v>PORK</v>
          </cell>
          <cell r="D320" t="str">
            <v>R</v>
          </cell>
          <cell r="E320" t="str">
            <v>CL</v>
          </cell>
          <cell r="F320" t="str">
            <v>LeFavour, Cree ; Achilleos, Antonis</v>
          </cell>
          <cell r="G320" t="str">
            <v>COOK</v>
          </cell>
          <cell r="H320">
            <v>7.99</v>
          </cell>
          <cell r="I320">
            <v>0</v>
          </cell>
        </row>
        <row r="321">
          <cell r="B321" t="str">
            <v>0201452110105</v>
          </cell>
          <cell r="C321" t="str">
            <v>INSIDE HBO GAME THRONES 1 &amp; 2</v>
          </cell>
          <cell r="D321" t="str">
            <v>R</v>
          </cell>
          <cell r="E321" t="str">
            <v>CL</v>
          </cell>
          <cell r="F321" t="str">
            <v>Cogman, Bryan ; Martin, George R. R. ; Benioff, David</v>
          </cell>
          <cell r="G321" t="str">
            <v>PERF</v>
          </cell>
          <cell r="H321">
            <v>13.75</v>
          </cell>
          <cell r="I321">
            <v>0</v>
          </cell>
        </row>
        <row r="322">
          <cell r="B322" t="str">
            <v>0201452110235</v>
          </cell>
          <cell r="C322" t="str">
            <v>TELEPHONE</v>
          </cell>
          <cell r="D322" t="str">
            <v>R</v>
          </cell>
          <cell r="E322" t="str">
            <v>CL</v>
          </cell>
          <cell r="F322" t="str">
            <v>Barnett, Mac ; Corace, Jen</v>
          </cell>
          <cell r="G322" t="str">
            <v>CHIL</v>
          </cell>
          <cell r="H322">
            <v>6</v>
          </cell>
          <cell r="I322">
            <v>0</v>
          </cell>
        </row>
        <row r="323">
          <cell r="B323" t="str">
            <v>0201452110549</v>
          </cell>
          <cell r="C323" t="str">
            <v>HISTORY OF WEAPONS</v>
          </cell>
          <cell r="D323" t="str">
            <v>R</v>
          </cell>
          <cell r="E323" t="str">
            <v>CL</v>
          </cell>
          <cell r="F323" t="str">
            <v>O'Bryan, John ; Orkin, Barry</v>
          </cell>
          <cell r="G323" t="str">
            <v>HIST</v>
          </cell>
          <cell r="H323">
            <v>6.49</v>
          </cell>
          <cell r="I323">
            <v>0</v>
          </cell>
        </row>
        <row r="324">
          <cell r="B324" t="str">
            <v>0201452110556</v>
          </cell>
          <cell r="C324" t="str">
            <v>FROM A POLISH COUNTRY HOUSE KI</v>
          </cell>
          <cell r="D324" t="str">
            <v>R</v>
          </cell>
          <cell r="E324" t="str">
            <v>CL</v>
          </cell>
          <cell r="F324" t="str">
            <v>Applebaum, Anne ; Crittenden, Danielle ; Bialy, Bogdan &amp; Dorota</v>
          </cell>
          <cell r="G324" t="str">
            <v>COOK</v>
          </cell>
          <cell r="H324">
            <v>14.25</v>
          </cell>
          <cell r="I324">
            <v>0</v>
          </cell>
        </row>
        <row r="325">
          <cell r="B325" t="str">
            <v>0201452110709</v>
          </cell>
          <cell r="C325" t="str">
            <v>CLOCKWORK SCARAB: A STOKER &amp; H</v>
          </cell>
          <cell r="D325" t="str">
            <v>R</v>
          </cell>
          <cell r="E325" t="str">
            <v>CL</v>
          </cell>
          <cell r="F325" t="str">
            <v>Gleason, Colleen</v>
          </cell>
          <cell r="G325" t="str">
            <v>CHIL</v>
          </cell>
          <cell r="H325">
            <v>4.99</v>
          </cell>
          <cell r="I325">
            <v>137</v>
          </cell>
        </row>
        <row r="326">
          <cell r="B326" t="str">
            <v>0201452110716</v>
          </cell>
          <cell r="C326" t="str">
            <v>SPIRITGLASS CHARADE: A STOKER </v>
          </cell>
          <cell r="D326" t="str">
            <v>R</v>
          </cell>
          <cell r="E326" t="str">
            <v>CL</v>
          </cell>
          <cell r="F326" t="str">
            <v>Gleason, Colleen</v>
          </cell>
          <cell r="G326" t="str">
            <v>CHIL</v>
          </cell>
          <cell r="H326">
            <v>6</v>
          </cell>
          <cell r="I326">
            <v>0</v>
          </cell>
        </row>
        <row r="327">
          <cell r="B327" t="str">
            <v>0201452110945</v>
          </cell>
          <cell r="C327" t="str">
            <v>PARIS IN COLOR NOTES</v>
          </cell>
          <cell r="D327" t="str">
            <v>R</v>
          </cell>
          <cell r="E327" t="str">
            <v>NC</v>
          </cell>
          <cell r="F327" t="str">
            <v>Robertson, Nichole</v>
          </cell>
          <cell r="G327" t="str">
            <v>GIFT</v>
          </cell>
          <cell r="H327">
            <v>5.63</v>
          </cell>
          <cell r="I327">
            <v>0</v>
          </cell>
        </row>
        <row r="328">
          <cell r="B328" t="str">
            <v>0201452111072</v>
          </cell>
          <cell r="C328" t="str">
            <v>GNGNCS LACING CARDS</v>
          </cell>
          <cell r="D328" t="str">
            <v>R</v>
          </cell>
          <cell r="E328" t="str">
            <v>MI</v>
          </cell>
          <cell r="F328" t="str">
            <v>Rinker, Sherri Duskey ; Lichtenheld, Tom</v>
          </cell>
          <cell r="G328" t="str">
            <v>CHIL</v>
          </cell>
          <cell r="H328">
            <v>6</v>
          </cell>
          <cell r="I328">
            <v>0</v>
          </cell>
        </row>
        <row r="329">
          <cell r="B329" t="str">
            <v>0201452111126</v>
          </cell>
          <cell r="C329" t="str">
            <v>AMY BUTLER DECOUPAGE</v>
          </cell>
          <cell r="D329" t="str">
            <v>R</v>
          </cell>
          <cell r="E329" t="str">
            <v>KT</v>
          </cell>
          <cell r="F329" t="str">
            <v>Butler, Amy ; Butler, David</v>
          </cell>
          <cell r="G329" t="str">
            <v>CRAF</v>
          </cell>
          <cell r="H329">
            <v>5.99</v>
          </cell>
          <cell r="I329">
            <v>119</v>
          </cell>
        </row>
        <row r="330">
          <cell r="B330" t="str">
            <v>0201452111546</v>
          </cell>
          <cell r="C330" t="str">
            <v>STICK MAN'S REALLY BAD DAY</v>
          </cell>
          <cell r="D330" t="str">
            <v>R</v>
          </cell>
          <cell r="E330" t="str">
            <v>CL</v>
          </cell>
          <cell r="F330" t="str">
            <v>Mockus, Steve</v>
          </cell>
          <cell r="G330" t="str">
            <v>HUM</v>
          </cell>
          <cell r="H330">
            <v>3.74</v>
          </cell>
          <cell r="I330">
            <v>0</v>
          </cell>
        </row>
        <row r="331">
          <cell r="B331" t="str">
            <v>0201452111584</v>
          </cell>
          <cell r="C331" t="str">
            <v>YETI, TURN OUT THE LIGHT!</v>
          </cell>
          <cell r="D331" t="str">
            <v>R</v>
          </cell>
          <cell r="E331" t="str">
            <v>CL</v>
          </cell>
          <cell r="F331" t="str">
            <v>Long, Greg ; Edmundson, Chris ; Kirwan, Wednesday</v>
          </cell>
          <cell r="G331" t="str">
            <v>CHIL</v>
          </cell>
          <cell r="H331">
            <v>4.25</v>
          </cell>
          <cell r="I331">
            <v>0</v>
          </cell>
        </row>
        <row r="332">
          <cell r="B332" t="str">
            <v>0201452111591</v>
          </cell>
          <cell r="C332" t="str">
            <v>GAMAGO YETI &amp; FRIENDS PLACE MA</v>
          </cell>
          <cell r="D332" t="str">
            <v>R</v>
          </cell>
          <cell r="E332" t="str">
            <v>MI</v>
          </cell>
          <cell r="F332" t="str">
            <v>GAMAGO</v>
          </cell>
          <cell r="G332" t="str">
            <v>GIFT</v>
          </cell>
          <cell r="H332">
            <v>4.63</v>
          </cell>
          <cell r="I332">
            <v>0</v>
          </cell>
        </row>
        <row r="333">
          <cell r="B333" t="str">
            <v>0201452111621</v>
          </cell>
          <cell r="C333" t="str">
            <v>KITCHEN CREAMERY</v>
          </cell>
          <cell r="D333" t="str">
            <v>R</v>
          </cell>
          <cell r="E333" t="str">
            <v>CL</v>
          </cell>
          <cell r="F333" t="str">
            <v>Hill, Louella ; Kunkel, Erin</v>
          </cell>
          <cell r="G333" t="str">
            <v>COOK</v>
          </cell>
          <cell r="H333">
            <v>7.99</v>
          </cell>
          <cell r="I333">
            <v>229</v>
          </cell>
        </row>
        <row r="334">
          <cell r="B334" t="str">
            <v>0201452111638</v>
          </cell>
          <cell r="C334" t="str">
            <v>COWGIRL CREAMERY COOKS</v>
          </cell>
          <cell r="D334" t="str">
            <v>R</v>
          </cell>
          <cell r="E334" t="str">
            <v>CL</v>
          </cell>
          <cell r="F334" t="str">
            <v>Conley, Sue ; Smith, Peggy</v>
          </cell>
          <cell r="G334" t="str">
            <v>COOK</v>
          </cell>
          <cell r="H334">
            <v>12</v>
          </cell>
          <cell r="I334">
            <v>0</v>
          </cell>
        </row>
        <row r="335">
          <cell r="B335" t="str">
            <v>0201452111645</v>
          </cell>
          <cell r="C335" t="str">
            <v>CHOCOLATE TASTING KIT</v>
          </cell>
          <cell r="D335" t="str">
            <v>R</v>
          </cell>
          <cell r="E335" t="str">
            <v>KT</v>
          </cell>
          <cell r="F335" t="str">
            <v>Yuh, Eagranie</v>
          </cell>
          <cell r="G335" t="str">
            <v>COOK</v>
          </cell>
          <cell r="H335">
            <v>8.74</v>
          </cell>
          <cell r="I335">
            <v>0</v>
          </cell>
        </row>
        <row r="336">
          <cell r="B336" t="str">
            <v>0201452111744</v>
          </cell>
          <cell r="C336" t="str">
            <v>ALWAYS EMILY</v>
          </cell>
          <cell r="D336" t="str">
            <v>R</v>
          </cell>
          <cell r="E336" t="str">
            <v>CL</v>
          </cell>
          <cell r="F336" t="str">
            <v>MacColl, Michaela</v>
          </cell>
          <cell r="G336" t="str">
            <v>CHIL</v>
          </cell>
          <cell r="H336">
            <v>4.99</v>
          </cell>
          <cell r="I336">
            <v>616</v>
          </cell>
        </row>
        <row r="337">
          <cell r="B337" t="str">
            <v>0201452111850</v>
          </cell>
          <cell r="C337" t="str">
            <v>ROY'S HOUSE</v>
          </cell>
          <cell r="D337" t="str">
            <v>R</v>
          </cell>
          <cell r="E337" t="str">
            <v>CL</v>
          </cell>
          <cell r="F337" t="str">
            <v>Rubin, Susan</v>
          </cell>
          <cell r="G337" t="str">
            <v>CHIL</v>
          </cell>
          <cell r="H337">
            <v>3.99</v>
          </cell>
          <cell r="I337">
            <v>142</v>
          </cell>
        </row>
        <row r="338">
          <cell r="B338" t="str">
            <v>0201452112215</v>
          </cell>
          <cell r="C338" t="str">
            <v>ICEBOX CAKES</v>
          </cell>
          <cell r="D338" t="str">
            <v>R</v>
          </cell>
          <cell r="E338" t="str">
            <v>CL</v>
          </cell>
          <cell r="F338" t="str">
            <v>Sagendorph, Jean ; Sheehan, Jessie</v>
          </cell>
          <cell r="G338" t="str">
            <v>COOK</v>
          </cell>
          <cell r="H338">
            <v>4.99</v>
          </cell>
          <cell r="I338">
            <v>99</v>
          </cell>
        </row>
        <row r="339">
          <cell r="B339" t="str">
            <v>0201452112253</v>
          </cell>
          <cell r="C339" t="str">
            <v>CONNECT THE THOUGHTS</v>
          </cell>
          <cell r="D339" t="str">
            <v>R</v>
          </cell>
          <cell r="E339" t="str">
            <v>JN</v>
          </cell>
          <cell r="G339" t="str">
            <v>GIFT</v>
          </cell>
          <cell r="H339">
            <v>4.63</v>
          </cell>
          <cell r="I339">
            <v>0</v>
          </cell>
        </row>
        <row r="340">
          <cell r="B340" t="str">
            <v>0201452112291</v>
          </cell>
          <cell r="C340" t="str">
            <v>MODERN TEA</v>
          </cell>
          <cell r="D340" t="str">
            <v>R</v>
          </cell>
          <cell r="E340" t="str">
            <v>CL</v>
          </cell>
          <cell r="F340" t="str">
            <v>Richardson, Lisa Boalt ; Altman, Jenifer</v>
          </cell>
          <cell r="G340" t="str">
            <v>COOK</v>
          </cell>
          <cell r="H340">
            <v>5.99</v>
          </cell>
          <cell r="I340">
            <v>0</v>
          </cell>
        </row>
        <row r="341">
          <cell r="B341" t="str">
            <v>0201452112345</v>
          </cell>
          <cell r="C341" t="str">
            <v>CAT SAYS MEOW</v>
          </cell>
          <cell r="D341" t="str">
            <v>R</v>
          </cell>
          <cell r="E341" t="str">
            <v>CL</v>
          </cell>
          <cell r="F341" t="str">
            <v>Arndt, Michael</v>
          </cell>
          <cell r="G341" t="str">
            <v>CHIL</v>
          </cell>
          <cell r="H341">
            <v>4.25</v>
          </cell>
          <cell r="I341">
            <v>0</v>
          </cell>
        </row>
        <row r="342">
          <cell r="B342" t="str">
            <v>0201452112468</v>
          </cell>
          <cell r="C342" t="str">
            <v>CATMAS CAROLS</v>
          </cell>
          <cell r="D342" t="str">
            <v>R</v>
          </cell>
          <cell r="E342" t="str">
            <v>CL</v>
          </cell>
          <cell r="F342" t="str">
            <v>Loughlin, Laurie ; Correll, Gemma</v>
          </cell>
          <cell r="G342" t="str">
            <v>HUM</v>
          </cell>
          <cell r="H342">
            <v>3.49</v>
          </cell>
          <cell r="I342">
            <v>0</v>
          </cell>
        </row>
        <row r="343">
          <cell r="B343" t="str">
            <v>0201452112475</v>
          </cell>
          <cell r="C343" t="str">
            <v>EN ROUTE NOTECARDS</v>
          </cell>
          <cell r="D343" t="str">
            <v>R</v>
          </cell>
          <cell r="E343" t="str">
            <v>NC</v>
          </cell>
          <cell r="F343" t="str">
            <v>Pocrass, Kate</v>
          </cell>
          <cell r="G343" t="str">
            <v>GIFT</v>
          </cell>
          <cell r="H343">
            <v>5.38</v>
          </cell>
          <cell r="I343">
            <v>0</v>
          </cell>
        </row>
        <row r="344">
          <cell r="B344" t="str">
            <v>0201452112482</v>
          </cell>
          <cell r="C344" t="str">
            <v>TREE OF WONDER</v>
          </cell>
          <cell r="D344" t="str">
            <v>R</v>
          </cell>
          <cell r="E344" t="str">
            <v>CL</v>
          </cell>
          <cell r="F344" t="str">
            <v>Messner, Kate ; Mulazzani, Simona</v>
          </cell>
          <cell r="G344" t="str">
            <v>CHIL</v>
          </cell>
          <cell r="H344">
            <v>6</v>
          </cell>
          <cell r="I344">
            <v>0</v>
          </cell>
        </row>
        <row r="345">
          <cell r="B345" t="str">
            <v>0201452112642</v>
          </cell>
          <cell r="C345" t="str">
            <v>WATERCOLOR</v>
          </cell>
          <cell r="D345" t="str">
            <v>R</v>
          </cell>
          <cell r="E345" t="str">
            <v>PB</v>
          </cell>
          <cell r="F345" t="str">
            <v>Rim, Sujean ; Dutcher, Leslie</v>
          </cell>
          <cell r="G345" t="str">
            <v>ARTS</v>
          </cell>
          <cell r="H345">
            <v>9.74</v>
          </cell>
          <cell r="I345">
            <v>0</v>
          </cell>
        </row>
        <row r="346">
          <cell r="B346" t="str">
            <v>0201452112697</v>
          </cell>
          <cell r="C346" t="str">
            <v>STRAIGHT FROM THE EARTH</v>
          </cell>
          <cell r="D346" t="str">
            <v>R</v>
          </cell>
          <cell r="E346" t="str">
            <v>PB</v>
          </cell>
          <cell r="F346" t="str">
            <v>Goodman, Myra ; Goodman, Marea ; Remington, Sara</v>
          </cell>
          <cell r="G346" t="str">
            <v>COOK</v>
          </cell>
          <cell r="H346">
            <v>7.99</v>
          </cell>
          <cell r="I346">
            <v>301</v>
          </cell>
        </row>
        <row r="347">
          <cell r="B347" t="str">
            <v>0201452112741</v>
          </cell>
          <cell r="C347" t="str">
            <v>DEAD MOUNTAIN</v>
          </cell>
          <cell r="D347" t="str">
            <v>R</v>
          </cell>
          <cell r="E347" t="str">
            <v>CL</v>
          </cell>
          <cell r="F347" t="str">
            <v>Eichar, Donnie</v>
          </cell>
          <cell r="G347" t="str">
            <v>HIST</v>
          </cell>
          <cell r="H347">
            <v>8.49</v>
          </cell>
          <cell r="I347">
            <v>0</v>
          </cell>
        </row>
        <row r="348">
          <cell r="B348" t="str">
            <v>0201452112758</v>
          </cell>
          <cell r="C348" t="str">
            <v>BOBBI BROWN BEAUTY RULES</v>
          </cell>
          <cell r="D348" t="str">
            <v>R</v>
          </cell>
          <cell r="E348" t="str">
            <v>PB</v>
          </cell>
          <cell r="F348" t="str">
            <v>Brown, Bobbi ; Paley, Rebecca ; Duff, Hilary</v>
          </cell>
          <cell r="G348" t="str">
            <v>HEAL</v>
          </cell>
          <cell r="H348">
            <v>6.99</v>
          </cell>
          <cell r="I348">
            <v>0</v>
          </cell>
        </row>
        <row r="349">
          <cell r="B349" t="str">
            <v>0201452112888</v>
          </cell>
          <cell r="C349" t="str">
            <v>CHEESEMONGER'S SEASONS</v>
          </cell>
          <cell r="D349" t="str">
            <v>R</v>
          </cell>
          <cell r="E349" t="str">
            <v>CL</v>
          </cell>
          <cell r="F349" t="str">
            <v>Hastings, Chester ; De Leo, Joseph ; Hastings, Chester</v>
          </cell>
          <cell r="G349" t="str">
            <v>COOK</v>
          </cell>
          <cell r="H349">
            <v>12</v>
          </cell>
          <cell r="I349">
            <v>0</v>
          </cell>
        </row>
        <row r="350">
          <cell r="B350" t="str">
            <v>0201452113281</v>
          </cell>
          <cell r="C350" t="str">
            <v>FORGETFUL GENTLEMAN STATIONERY</v>
          </cell>
          <cell r="D350" t="str">
            <v>R</v>
          </cell>
          <cell r="E350" t="str">
            <v>ST</v>
          </cell>
          <cell r="F350" t="str">
            <v>Tan, Nathan</v>
          </cell>
          <cell r="G350" t="str">
            <v>GIFT</v>
          </cell>
          <cell r="H350">
            <v>6.99</v>
          </cell>
          <cell r="I350">
            <v>0</v>
          </cell>
        </row>
        <row r="351">
          <cell r="B351" t="str">
            <v>0201452113298</v>
          </cell>
          <cell r="C351" t="str">
            <v>SORTED BOOKS</v>
          </cell>
          <cell r="D351" t="str">
            <v>R</v>
          </cell>
          <cell r="E351" t="str">
            <v>CL</v>
          </cell>
          <cell r="F351" t="str">
            <v>Katchadourian, Nina ; Dillon, Brian</v>
          </cell>
          <cell r="G351" t="str">
            <v>PHOT</v>
          </cell>
          <cell r="H351">
            <v>6.99</v>
          </cell>
          <cell r="I351">
            <v>0</v>
          </cell>
        </row>
        <row r="352">
          <cell r="B352" t="str">
            <v>0201452113526</v>
          </cell>
          <cell r="C352" t="str">
            <v>FORGETFUL GENTLEMAN</v>
          </cell>
          <cell r="D352" t="str">
            <v>R</v>
          </cell>
          <cell r="E352" t="str">
            <v>CL</v>
          </cell>
          <cell r="F352" t="str">
            <v>Tan, Nathan</v>
          </cell>
          <cell r="G352" t="str">
            <v>SELF</v>
          </cell>
          <cell r="H352">
            <v>5.99</v>
          </cell>
          <cell r="I352">
            <v>0</v>
          </cell>
        </row>
        <row r="353">
          <cell r="B353" t="str">
            <v>0201452113670</v>
          </cell>
          <cell r="C353" t="str">
            <v>PORK CHOP</v>
          </cell>
          <cell r="D353" t="str">
            <v>R</v>
          </cell>
          <cell r="E353" t="str">
            <v>CL</v>
          </cell>
          <cell r="F353" t="str">
            <v>Lampe, Ray "DR. BBQ" ; Horton, Jody</v>
          </cell>
          <cell r="G353" t="str">
            <v>COOK</v>
          </cell>
          <cell r="H353">
            <v>7.99</v>
          </cell>
          <cell r="I353">
            <v>0</v>
          </cell>
        </row>
        <row r="354">
          <cell r="B354" t="str">
            <v>0201452113892</v>
          </cell>
          <cell r="C354" t="str">
            <v>MEANWHILE IN SAN FRANCISCO</v>
          </cell>
          <cell r="D354" t="str">
            <v>R</v>
          </cell>
          <cell r="E354" t="str">
            <v>CL</v>
          </cell>
          <cell r="F354" t="str">
            <v>MacNaughton, Wendy</v>
          </cell>
          <cell r="G354" t="str">
            <v>ARTS</v>
          </cell>
          <cell r="H354">
            <v>6.74</v>
          </cell>
          <cell r="I354">
            <v>0</v>
          </cell>
        </row>
        <row r="355">
          <cell r="B355" t="str">
            <v>0201452113946</v>
          </cell>
          <cell r="C355" t="str">
            <v>KINDERGARTEN LUCK</v>
          </cell>
          <cell r="D355" t="str">
            <v>R</v>
          </cell>
          <cell r="E355" t="str">
            <v>CL</v>
          </cell>
          <cell r="F355" t="str">
            <v>Borden, Louise ; Godbout, Genevieve</v>
          </cell>
          <cell r="G355" t="str">
            <v>CHIL</v>
          </cell>
          <cell r="H355">
            <v>6</v>
          </cell>
          <cell r="I355">
            <v>0</v>
          </cell>
        </row>
        <row r="356">
          <cell r="B356" t="str">
            <v>0201452114066</v>
          </cell>
          <cell r="C356" t="str">
            <v>NEW YORK JACKIE</v>
          </cell>
          <cell r="D356" t="str">
            <v>R</v>
          </cell>
          <cell r="E356" t="str">
            <v>CL</v>
          </cell>
          <cell r="F356" t="str">
            <v>Payne, Bridget Watson ; Talese, Nan A.</v>
          </cell>
          <cell r="G356" t="str">
            <v>PHOT</v>
          </cell>
          <cell r="H356">
            <v>5.99</v>
          </cell>
          <cell r="I356">
            <v>129</v>
          </cell>
        </row>
        <row r="357">
          <cell r="B357" t="str">
            <v>0201452114158</v>
          </cell>
          <cell r="C357" t="str">
            <v>WELL-READ WOMEN</v>
          </cell>
          <cell r="D357" t="str">
            <v>R</v>
          </cell>
          <cell r="E357" t="str">
            <v>CL</v>
          </cell>
          <cell r="F357" t="str">
            <v>Hahn, Samantha</v>
          </cell>
          <cell r="G357" t="str">
            <v>ARTS</v>
          </cell>
          <cell r="H357">
            <v>5.99</v>
          </cell>
          <cell r="I357">
            <v>0</v>
          </cell>
        </row>
        <row r="358">
          <cell r="B358" t="str">
            <v>0201452114189</v>
          </cell>
          <cell r="C358" t="str">
            <v>ANALOG ADDRESS BOOK</v>
          </cell>
          <cell r="D358" t="str">
            <v>R</v>
          </cell>
          <cell r="E358" t="str">
            <v>AB</v>
          </cell>
          <cell r="F358" t="str">
            <v>Rothman, Julia</v>
          </cell>
          <cell r="G358" t="str">
            <v>GIFT</v>
          </cell>
          <cell r="H358">
            <v>4.99</v>
          </cell>
          <cell r="I358">
            <v>0</v>
          </cell>
        </row>
        <row r="359">
          <cell r="B359" t="str">
            <v>0201452114363</v>
          </cell>
          <cell r="C359" t="str">
            <v>YOU'RE A WINNER!</v>
          </cell>
          <cell r="D359" t="str">
            <v>R</v>
          </cell>
          <cell r="E359" t="str">
            <v>BK</v>
          </cell>
          <cell r="G359" t="str">
            <v>GIFT</v>
          </cell>
          <cell r="H359">
            <v>4.63</v>
          </cell>
          <cell r="I359">
            <v>0</v>
          </cell>
        </row>
        <row r="360">
          <cell r="B360" t="str">
            <v>0201452114424</v>
          </cell>
          <cell r="C360" t="str">
            <v>LETTER TO MY DOG</v>
          </cell>
          <cell r="D360" t="str">
            <v>R</v>
          </cell>
          <cell r="E360" t="str">
            <v>CL</v>
          </cell>
          <cell r="F360" t="str">
            <v>Layton, Robin</v>
          </cell>
          <cell r="G360" t="str">
            <v>PET</v>
          </cell>
          <cell r="H360">
            <v>8.49</v>
          </cell>
          <cell r="I360">
            <v>0</v>
          </cell>
        </row>
        <row r="361">
          <cell r="B361" t="str">
            <v>0201452114561</v>
          </cell>
          <cell r="C361" t="str">
            <v>ARTISTS, WRITERS, THINKERS, DR</v>
          </cell>
          <cell r="D361" t="str">
            <v>R</v>
          </cell>
          <cell r="E361" t="str">
            <v>PB</v>
          </cell>
          <cell r="F361" t="str">
            <v>Hancock, James Gulliver</v>
          </cell>
          <cell r="G361" t="str">
            <v>ARTS</v>
          </cell>
          <cell r="H361">
            <v>5.99</v>
          </cell>
          <cell r="I361">
            <v>133</v>
          </cell>
        </row>
        <row r="362">
          <cell r="B362" t="str">
            <v>0201452115278</v>
          </cell>
          <cell r="C362" t="str">
            <v>GETTING GROOMED</v>
          </cell>
          <cell r="D362" t="str">
            <v>R</v>
          </cell>
          <cell r="E362" t="str">
            <v>JN</v>
          </cell>
          <cell r="F362" t="str">
            <v>Mitchell, Jason</v>
          </cell>
          <cell r="G362" t="str">
            <v>REF</v>
          </cell>
          <cell r="H362">
            <v>7.49</v>
          </cell>
          <cell r="I362">
            <v>0</v>
          </cell>
        </row>
        <row r="363">
          <cell r="B363" t="str">
            <v>0201452115285</v>
          </cell>
          <cell r="C363" t="str">
            <v>DADDY WRONG LEGS</v>
          </cell>
          <cell r="D363" t="str">
            <v>R</v>
          </cell>
          <cell r="E363" t="str">
            <v>CL</v>
          </cell>
          <cell r="F363" t="str">
            <v>Laden, Nina</v>
          </cell>
          <cell r="G363" t="str">
            <v>CHIL</v>
          </cell>
          <cell r="H363">
            <v>2.25</v>
          </cell>
          <cell r="I363">
            <v>0</v>
          </cell>
        </row>
        <row r="364">
          <cell r="B364" t="str">
            <v>0201452115377</v>
          </cell>
          <cell r="C364" t="str">
            <v>STREET FASHION PHOTOGRAPHY</v>
          </cell>
          <cell r="D364" t="str">
            <v>R</v>
          </cell>
          <cell r="E364" t="str">
            <v>PB</v>
          </cell>
          <cell r="F364" t="str">
            <v>Dawson, Dyanna ; Tran, J.T.</v>
          </cell>
          <cell r="G364" t="str">
            <v>PHOT</v>
          </cell>
          <cell r="H364">
            <v>6.24</v>
          </cell>
          <cell r="I364">
            <v>0</v>
          </cell>
        </row>
        <row r="365">
          <cell r="B365" t="str">
            <v>0201452115568</v>
          </cell>
          <cell r="C365" t="str">
            <v>MADDIE ON THINGS</v>
          </cell>
          <cell r="D365" t="str">
            <v>R</v>
          </cell>
          <cell r="E365" t="str">
            <v>CL</v>
          </cell>
          <cell r="F365" t="str">
            <v>Humphrey, Theron</v>
          </cell>
          <cell r="G365" t="str">
            <v>PHOT</v>
          </cell>
          <cell r="H365">
            <v>5.49</v>
          </cell>
          <cell r="I365">
            <v>0</v>
          </cell>
        </row>
        <row r="366">
          <cell r="B366" t="str">
            <v>0201452115735</v>
          </cell>
          <cell r="C366" t="str">
            <v>YIDDISH WISDOM</v>
          </cell>
          <cell r="D366" t="str">
            <v>R</v>
          </cell>
          <cell r="E366" t="str">
            <v>CL</v>
          </cell>
          <cell r="F366" t="str">
            <v>Neal, Christopher Silas</v>
          </cell>
          <cell r="G366" t="str">
            <v>LANDIC</v>
          </cell>
          <cell r="H366">
            <v>4.74</v>
          </cell>
          <cell r="I366">
            <v>0</v>
          </cell>
        </row>
        <row r="367">
          <cell r="B367" t="str">
            <v>0201452116671</v>
          </cell>
          <cell r="C367" t="str">
            <v>CREATURE NUMBERS</v>
          </cell>
          <cell r="D367" t="str">
            <v>R</v>
          </cell>
          <cell r="E367" t="str">
            <v>CL</v>
          </cell>
          <cell r="F367" t="str">
            <v>Zuckerman, Andrew</v>
          </cell>
          <cell r="G367" t="str">
            <v>CHIL</v>
          </cell>
          <cell r="H367">
            <v>1.99</v>
          </cell>
          <cell r="I367">
            <v>154</v>
          </cell>
        </row>
        <row r="368">
          <cell r="B368" t="str">
            <v>0201452116688</v>
          </cell>
          <cell r="C368" t="str">
            <v>CREATURE COLORS</v>
          </cell>
          <cell r="D368" t="str">
            <v>R</v>
          </cell>
          <cell r="E368" t="str">
            <v>BD</v>
          </cell>
          <cell r="F368" t="str">
            <v>Zuckerman, Andrew</v>
          </cell>
          <cell r="G368" t="str">
            <v>CHIL</v>
          </cell>
          <cell r="H368">
            <v>2.75</v>
          </cell>
          <cell r="I368">
            <v>0</v>
          </cell>
        </row>
        <row r="369">
          <cell r="B369" t="str">
            <v>0201452116756</v>
          </cell>
          <cell r="C369" t="str">
            <v>SMITTEN</v>
          </cell>
          <cell r="D369" t="str">
            <v>R</v>
          </cell>
          <cell r="E369" t="str">
            <v>CL</v>
          </cell>
          <cell r="F369" t="str">
            <v>Kiley, Ariel ; Kornfeld, Simone</v>
          </cell>
          <cell r="G369" t="str">
            <v>FAMI</v>
          </cell>
          <cell r="H369">
            <v>5.74</v>
          </cell>
          <cell r="I369">
            <v>0</v>
          </cell>
        </row>
        <row r="370">
          <cell r="B370" t="str">
            <v>0201452116954</v>
          </cell>
          <cell r="C370" t="str">
            <v>COMPLETE WCS SURVIVAL HANDBOOK</v>
          </cell>
          <cell r="D370" t="str">
            <v>R</v>
          </cell>
          <cell r="E370" t="str">
            <v>CL</v>
          </cell>
          <cell r="F370" t="str">
            <v>Piven, Joshua ; Borgenicht, David ; Winters, Ben H.</v>
          </cell>
          <cell r="G370" t="str">
            <v>FAMI</v>
          </cell>
          <cell r="H370">
            <v>6.99</v>
          </cell>
          <cell r="I370">
            <v>0</v>
          </cell>
        </row>
        <row r="371">
          <cell r="B371" t="str">
            <v>0201452117005</v>
          </cell>
          <cell r="C371" t="str">
            <v>BUSY BUNNY DAYS</v>
          </cell>
          <cell r="D371" t="str">
            <v>R</v>
          </cell>
          <cell r="E371" t="str">
            <v>CL</v>
          </cell>
          <cell r="F371" t="str">
            <v>Teckentrup, Britta</v>
          </cell>
          <cell r="G371" t="str">
            <v>CHIL</v>
          </cell>
          <cell r="H371">
            <v>6</v>
          </cell>
          <cell r="I371">
            <v>0</v>
          </cell>
        </row>
        <row r="372">
          <cell r="B372" t="str">
            <v>0201452117142</v>
          </cell>
          <cell r="C372" t="str">
            <v>SEE FOR YOURSELF</v>
          </cell>
          <cell r="D372" t="str">
            <v>R</v>
          </cell>
          <cell r="E372" t="str">
            <v>PB</v>
          </cell>
          <cell r="F372" t="str">
            <v>Forbes, Rob</v>
          </cell>
          <cell r="G372" t="str">
            <v>DESI</v>
          </cell>
          <cell r="H372">
            <v>8.99</v>
          </cell>
          <cell r="I372">
            <v>0</v>
          </cell>
        </row>
        <row r="373">
          <cell r="B373" t="str">
            <v>0201452117159</v>
          </cell>
          <cell r="C373" t="str">
            <v>SMALL OBJECT THUMBPRINT PORTRA</v>
          </cell>
          <cell r="D373" t="str">
            <v>R</v>
          </cell>
          <cell r="E373" t="str">
            <v>NC</v>
          </cell>
          <cell r="F373" t="str">
            <v>Neuburger, Sarah</v>
          </cell>
          <cell r="G373" t="str">
            <v>GIFT</v>
          </cell>
          <cell r="H373">
            <v>5.99</v>
          </cell>
          <cell r="I373">
            <v>0</v>
          </cell>
        </row>
        <row r="374">
          <cell r="B374" t="str">
            <v>0201452117166</v>
          </cell>
          <cell r="C374" t="str">
            <v>ART OF FROZEN</v>
          </cell>
          <cell r="D374" t="str">
            <v>R</v>
          </cell>
          <cell r="E374" t="str">
            <v>CL</v>
          </cell>
          <cell r="F374" t="str">
            <v>Solomon, Charles ; Lasseter, John</v>
          </cell>
          <cell r="G374" t="str">
            <v>PERF</v>
          </cell>
          <cell r="H374">
            <v>9.99</v>
          </cell>
          <cell r="I374">
            <v>249</v>
          </cell>
        </row>
        <row r="375">
          <cell r="B375" t="str">
            <v>0201452117203</v>
          </cell>
          <cell r="C375" t="str">
            <v>THING THE BOOK</v>
          </cell>
          <cell r="D375" t="str">
            <v>R</v>
          </cell>
          <cell r="E375" t="str">
            <v>CL</v>
          </cell>
          <cell r="F375" t="str">
            <v>Herschend, Jonn ; Rogan, Will</v>
          </cell>
          <cell r="G375" t="str">
            <v>ARTS</v>
          </cell>
          <cell r="H375">
            <v>9.99</v>
          </cell>
          <cell r="I375">
            <v>229</v>
          </cell>
        </row>
        <row r="376">
          <cell r="B376" t="str">
            <v>0201452117210</v>
          </cell>
          <cell r="C376" t="str">
            <v>CREATURE BABY ANIMALS</v>
          </cell>
          <cell r="D376" t="str">
            <v>R</v>
          </cell>
          <cell r="E376" t="str">
            <v>BD</v>
          </cell>
          <cell r="F376" t="str">
            <v>Zuckerman, Andrew</v>
          </cell>
          <cell r="G376" t="str">
            <v>CHIL</v>
          </cell>
          <cell r="H376">
            <v>1.99</v>
          </cell>
          <cell r="I376">
            <v>113</v>
          </cell>
        </row>
        <row r="377">
          <cell r="B377" t="str">
            <v>0201452117227</v>
          </cell>
          <cell r="C377" t="str">
            <v>CREATURE SOUNDS</v>
          </cell>
          <cell r="D377" t="str">
            <v>R</v>
          </cell>
          <cell r="E377" t="str">
            <v>BD</v>
          </cell>
          <cell r="F377" t="str">
            <v>Zuckerman, Andrew</v>
          </cell>
          <cell r="G377" t="str">
            <v>CHIL</v>
          </cell>
          <cell r="H377">
            <v>1.99</v>
          </cell>
          <cell r="I377">
            <v>33</v>
          </cell>
        </row>
        <row r="378">
          <cell r="B378" t="str">
            <v>0201452117340</v>
          </cell>
          <cell r="C378" t="str">
            <v>COLOR THIS BOOK: SAN FRANCISCO</v>
          </cell>
          <cell r="D378" t="str">
            <v>R</v>
          </cell>
          <cell r="E378" t="str">
            <v>PB</v>
          </cell>
          <cell r="F378" t="str">
            <v>Jacobson, Abbi</v>
          </cell>
          <cell r="G378" t="str">
            <v>SPOR</v>
          </cell>
          <cell r="H378">
            <v>2.99</v>
          </cell>
          <cell r="I378">
            <v>50</v>
          </cell>
        </row>
        <row r="379">
          <cell r="B379" t="str">
            <v>0201452117388</v>
          </cell>
          <cell r="C379" t="str">
            <v>TINY TOKYO</v>
          </cell>
          <cell r="D379" t="str">
            <v>R</v>
          </cell>
          <cell r="E379" t="str">
            <v>PB</v>
          </cell>
          <cell r="F379" t="str">
            <v>Thomas, Ben</v>
          </cell>
          <cell r="G379" t="str">
            <v>PHOT</v>
          </cell>
          <cell r="H379">
            <v>4.99</v>
          </cell>
          <cell r="I379">
            <v>0</v>
          </cell>
        </row>
        <row r="380">
          <cell r="B380" t="str">
            <v>0201452117395</v>
          </cell>
          <cell r="C380" t="str">
            <v>KNITTING BY DESIGN</v>
          </cell>
          <cell r="D380" t="str">
            <v>R</v>
          </cell>
          <cell r="E380" t="str">
            <v>CL</v>
          </cell>
          <cell r="F380" t="str">
            <v>Robertson, Emma ; Wanger, Max</v>
          </cell>
          <cell r="G380" t="str">
            <v>CRAF</v>
          </cell>
          <cell r="H380">
            <v>8.49</v>
          </cell>
          <cell r="I380">
            <v>0</v>
          </cell>
        </row>
        <row r="381">
          <cell r="B381" t="str">
            <v>0201452118163</v>
          </cell>
          <cell r="C381" t="str">
            <v>ART OF I LOVE YOU</v>
          </cell>
          <cell r="D381" t="str">
            <v>R</v>
          </cell>
          <cell r="E381" t="str">
            <v>CL</v>
          </cell>
          <cell r="F381" t="str">
            <v>Chronicle Books Staff</v>
          </cell>
          <cell r="G381" t="str">
            <v>FAMI</v>
          </cell>
          <cell r="H381">
            <v>4.49</v>
          </cell>
          <cell r="I381">
            <v>0</v>
          </cell>
        </row>
        <row r="382">
          <cell r="B382" t="str">
            <v>0201452118286</v>
          </cell>
          <cell r="C382" t="str">
            <v>LA MERE DE FAMILLE</v>
          </cell>
          <cell r="D382" t="str">
            <v>R</v>
          </cell>
          <cell r="E382" t="str">
            <v>CL</v>
          </cell>
          <cell r="F382" t="str">
            <v>Merceron, Julien ; Serre, Julie ; Pechaud, Sophie</v>
          </cell>
          <cell r="G382" t="str">
            <v>COOK</v>
          </cell>
          <cell r="H382">
            <v>12.5</v>
          </cell>
          <cell r="I382">
            <v>0</v>
          </cell>
        </row>
        <row r="383">
          <cell r="B383" t="str">
            <v>0201452118309</v>
          </cell>
          <cell r="C383" t="str">
            <v>FIRST FOR EVERYTHING JOURNAL</v>
          </cell>
          <cell r="D383" t="str">
            <v>R</v>
          </cell>
          <cell r="E383" t="str">
            <v>JN</v>
          </cell>
          <cell r="G383" t="str">
            <v>SELF</v>
          </cell>
          <cell r="H383">
            <v>3.99</v>
          </cell>
          <cell r="I383">
            <v>127</v>
          </cell>
        </row>
        <row r="384">
          <cell r="B384" t="str">
            <v>0201452118316</v>
          </cell>
          <cell r="C384" t="str">
            <v>DECORATE WITH FLOWERS</v>
          </cell>
          <cell r="D384" t="str">
            <v>R</v>
          </cell>
          <cell r="E384" t="str">
            <v>CL</v>
          </cell>
          <cell r="F384" t="str">
            <v>Becker, Holly ; Shewring, Leslie</v>
          </cell>
          <cell r="G384" t="str">
            <v>DOIT</v>
          </cell>
          <cell r="H384">
            <v>5.99</v>
          </cell>
          <cell r="I384">
            <v>1</v>
          </cell>
        </row>
        <row r="385">
          <cell r="B385" t="str">
            <v>0201452118323</v>
          </cell>
          <cell r="C385" t="str">
            <v>642 FASHION THINGS TO DRAW</v>
          </cell>
          <cell r="D385" t="str">
            <v>R</v>
          </cell>
          <cell r="E385" t="str">
            <v>JN</v>
          </cell>
          <cell r="G385" t="str">
            <v>DESI</v>
          </cell>
          <cell r="H385">
            <v>5.99</v>
          </cell>
          <cell r="I385">
            <v>0</v>
          </cell>
        </row>
        <row r="386">
          <cell r="B386" t="str">
            <v>0201452118866</v>
          </cell>
          <cell r="C386" t="str">
            <v>BAR HOPPER HANDBOOK</v>
          </cell>
          <cell r="D386" t="str">
            <v>R</v>
          </cell>
          <cell r="E386" t="str">
            <v>CL</v>
          </cell>
          <cell r="F386" t="str">
            <v>Applebaum, Ben ; DiSorbo, Dan</v>
          </cell>
          <cell r="G386" t="str">
            <v>HUM</v>
          </cell>
          <cell r="H386">
            <v>2.99</v>
          </cell>
          <cell r="I386">
            <v>230</v>
          </cell>
        </row>
        <row r="387">
          <cell r="B387" t="str">
            <v>0201452118880</v>
          </cell>
          <cell r="C387" t="str">
            <v>CREATIVE BLOCK</v>
          </cell>
          <cell r="D387" t="str">
            <v>R</v>
          </cell>
          <cell r="E387" t="str">
            <v>PB</v>
          </cell>
          <cell r="F387" t="str">
            <v>Krysa, Danielle</v>
          </cell>
          <cell r="G387" t="str">
            <v>SELF</v>
          </cell>
          <cell r="H387">
            <v>10.24</v>
          </cell>
          <cell r="I387">
            <v>0</v>
          </cell>
        </row>
        <row r="388">
          <cell r="B388" t="str">
            <v>0201452118934</v>
          </cell>
          <cell r="C388" t="str">
            <v>PLANET KINDERGARTEN</v>
          </cell>
          <cell r="D388" t="str">
            <v>R</v>
          </cell>
          <cell r="E388" t="str">
            <v>CL</v>
          </cell>
          <cell r="F388" t="str">
            <v>Ganz-Schmitt, Sue ; Prigmore, Shane</v>
          </cell>
          <cell r="G388" t="str">
            <v>CHIL</v>
          </cell>
          <cell r="H388">
            <v>5.75</v>
          </cell>
          <cell r="I388">
            <v>0</v>
          </cell>
        </row>
        <row r="389">
          <cell r="B389" t="str">
            <v>0201452118958</v>
          </cell>
          <cell r="C389" t="str">
            <v>BIGFOOT IS MISSING!</v>
          </cell>
          <cell r="D389" t="str">
            <v>R</v>
          </cell>
          <cell r="E389" t="str">
            <v>CL</v>
          </cell>
          <cell r="F389" t="str">
            <v>Nesbitt, Kenn ; Lewis, J. Patrick</v>
          </cell>
          <cell r="G389" t="str">
            <v>CHIL</v>
          </cell>
          <cell r="H389">
            <v>6</v>
          </cell>
          <cell r="I389">
            <v>0</v>
          </cell>
        </row>
        <row r="390">
          <cell r="B390" t="str">
            <v>0201452118965</v>
          </cell>
          <cell r="C390" t="str">
            <v>DID JEW KNOW?</v>
          </cell>
          <cell r="D390" t="str">
            <v>R</v>
          </cell>
          <cell r="E390" t="str">
            <v>CL</v>
          </cell>
          <cell r="F390" t="str">
            <v>Stone, Emily</v>
          </cell>
          <cell r="G390" t="str">
            <v>HUM</v>
          </cell>
          <cell r="H390">
            <v>5.74</v>
          </cell>
          <cell r="I390">
            <v>0</v>
          </cell>
        </row>
        <row r="391">
          <cell r="B391" t="str">
            <v>0201452119016</v>
          </cell>
          <cell r="C391" t="str">
            <v>WEDDING OFFICIANT'S GDE</v>
          </cell>
          <cell r="D391" t="str">
            <v>R</v>
          </cell>
          <cell r="E391" t="str">
            <v>PB</v>
          </cell>
          <cell r="F391" t="str">
            <v>Francesca, Lisa</v>
          </cell>
          <cell r="G391" t="str">
            <v>REF</v>
          </cell>
          <cell r="H391">
            <v>5.74</v>
          </cell>
          <cell r="I391">
            <v>0</v>
          </cell>
        </row>
        <row r="392">
          <cell r="B392" t="str">
            <v>0201452119023</v>
          </cell>
          <cell r="C392" t="str">
            <v>NAILS, NAILS, NAILS!</v>
          </cell>
          <cell r="D392" t="str">
            <v>R</v>
          </cell>
          <cell r="E392" t="str">
            <v>CL</v>
          </cell>
          <cell r="F392" t="str">
            <v>Poole, Madeline ; Rossignol, Lara</v>
          </cell>
          <cell r="G392" t="str">
            <v>HEAL</v>
          </cell>
          <cell r="H392">
            <v>4.99</v>
          </cell>
          <cell r="I392">
            <v>0</v>
          </cell>
        </row>
        <row r="393">
          <cell r="B393" t="str">
            <v>0201452119498</v>
          </cell>
          <cell r="C393" t="str">
            <v>STAGE &amp; PLAY: DINOSAURS!</v>
          </cell>
          <cell r="D393" t="str">
            <v>R</v>
          </cell>
          <cell r="E393" t="str">
            <v>KT</v>
          </cell>
          <cell r="F393" t="str">
            <v>Barner, Bob</v>
          </cell>
          <cell r="G393" t="str">
            <v>CHIL</v>
          </cell>
          <cell r="H393">
            <v>6</v>
          </cell>
          <cell r="I393">
            <v>0</v>
          </cell>
        </row>
        <row r="394">
          <cell r="B394" t="str">
            <v>0201452119504</v>
          </cell>
          <cell r="C394" t="str">
            <v>STAGE &amp; PLAY: PRINCESSES!</v>
          </cell>
          <cell r="D394" t="str">
            <v>R</v>
          </cell>
          <cell r="E394" t="str">
            <v>KT</v>
          </cell>
          <cell r="F394" t="str">
            <v>Barrager, Brigette</v>
          </cell>
          <cell r="G394" t="str">
            <v>CHIL</v>
          </cell>
          <cell r="H394">
            <v>6</v>
          </cell>
          <cell r="I394">
            <v>0</v>
          </cell>
        </row>
        <row r="395">
          <cell r="B395" t="str">
            <v>0201452119573</v>
          </cell>
          <cell r="C395" t="str">
            <v>ONE SIMPLE CHANGE</v>
          </cell>
          <cell r="D395" t="str">
            <v>R</v>
          </cell>
          <cell r="E395" t="str">
            <v>PB</v>
          </cell>
          <cell r="F395" t="str">
            <v>Abramson, Winnie</v>
          </cell>
          <cell r="G395" t="str">
            <v>HEAL</v>
          </cell>
          <cell r="H395">
            <v>4.99</v>
          </cell>
          <cell r="I395">
            <v>0</v>
          </cell>
        </row>
        <row r="396">
          <cell r="B396" t="str">
            <v>0201452119597</v>
          </cell>
          <cell r="C396" t="str">
            <v>SPACE BETWEEN TREES</v>
          </cell>
          <cell r="D396" t="str">
            <v>R</v>
          </cell>
          <cell r="E396" t="str">
            <v>PB</v>
          </cell>
          <cell r="F396" t="str">
            <v>Williams, Katie</v>
          </cell>
          <cell r="G396" t="str">
            <v>CHIL</v>
          </cell>
          <cell r="H396">
            <v>3</v>
          </cell>
          <cell r="I396">
            <v>22</v>
          </cell>
        </row>
        <row r="397">
          <cell r="B397" t="str">
            <v>0201452119627</v>
          </cell>
          <cell r="C397" t="str">
            <v>BREAD EXCHANGE</v>
          </cell>
          <cell r="D397" t="str">
            <v>R</v>
          </cell>
          <cell r="E397" t="str">
            <v>CL</v>
          </cell>
          <cell r="F397" t="str">
            <v>Elmlid, Malin</v>
          </cell>
          <cell r="G397" t="str">
            <v>COOK</v>
          </cell>
          <cell r="H397">
            <v>9.99</v>
          </cell>
          <cell r="I397">
            <v>385</v>
          </cell>
        </row>
        <row r="398">
          <cell r="B398" t="str">
            <v>0201452120319</v>
          </cell>
          <cell r="C398" t="str">
            <v>PAPER STYLE: HAIRDOS</v>
          </cell>
          <cell r="D398" t="str">
            <v>R</v>
          </cell>
          <cell r="E398" t="str">
            <v>KT</v>
          </cell>
          <cell r="F398" t="str">
            <v>Horstschaefer, Felicitas</v>
          </cell>
          <cell r="G398" t="str">
            <v>CHIL</v>
          </cell>
          <cell r="H398">
            <v>4.99</v>
          </cell>
          <cell r="I398">
            <v>102</v>
          </cell>
        </row>
        <row r="399">
          <cell r="B399" t="str">
            <v>0201452121446</v>
          </cell>
          <cell r="C399" t="str">
            <v>IF I WERE A BOOK</v>
          </cell>
          <cell r="D399" t="str">
            <v>R</v>
          </cell>
          <cell r="E399" t="str">
            <v>CL</v>
          </cell>
          <cell r="F399" t="str">
            <v>Letria, Jose Jorge ; Letria, Andre</v>
          </cell>
          <cell r="G399" t="str">
            <v>ARTS</v>
          </cell>
          <cell r="H399">
            <v>3.99</v>
          </cell>
          <cell r="I399">
            <v>70</v>
          </cell>
        </row>
        <row r="400">
          <cell r="B400" t="str">
            <v>0201452121514</v>
          </cell>
          <cell r="C400" t="str">
            <v>ELENA VANISHING</v>
          </cell>
          <cell r="D400" t="str">
            <v>R</v>
          </cell>
          <cell r="E400" t="str">
            <v>CL</v>
          </cell>
          <cell r="F400" t="str">
            <v>Dunkle, Elena ; Dunkle, Clare B.</v>
          </cell>
          <cell r="G400" t="str">
            <v>YAN</v>
          </cell>
          <cell r="H400">
            <v>6</v>
          </cell>
          <cell r="I400">
            <v>0</v>
          </cell>
        </row>
        <row r="401">
          <cell r="B401" t="str">
            <v>0201452121569</v>
          </cell>
          <cell r="C401" t="str">
            <v>HOPE AND OTHER LUXURIES</v>
          </cell>
          <cell r="D401" t="str">
            <v>R</v>
          </cell>
          <cell r="E401" t="str">
            <v>CL</v>
          </cell>
          <cell r="F401" t="str">
            <v>Dunkle, Clare B.</v>
          </cell>
          <cell r="G401" t="str">
            <v>BIOG</v>
          </cell>
          <cell r="H401">
            <v>9</v>
          </cell>
          <cell r="I401">
            <v>0</v>
          </cell>
        </row>
        <row r="402">
          <cell r="B402" t="str">
            <v>0201452121880</v>
          </cell>
          <cell r="C402" t="str">
            <v>PASTA BY HAND</v>
          </cell>
          <cell r="D402" t="str">
            <v>R</v>
          </cell>
          <cell r="E402" t="str">
            <v>CL</v>
          </cell>
          <cell r="F402" t="str">
            <v>Louis, Jenn ; Anderson, Ed</v>
          </cell>
          <cell r="G402" t="str">
            <v>COOK</v>
          </cell>
          <cell r="H402">
            <v>9</v>
          </cell>
          <cell r="I402">
            <v>0</v>
          </cell>
        </row>
        <row r="403">
          <cell r="B403" t="str">
            <v>0201452122184</v>
          </cell>
          <cell r="C403" t="str">
            <v>INSIDE HBO GAME THRONES 3 &amp; 4</v>
          </cell>
          <cell r="D403" t="str">
            <v>R</v>
          </cell>
          <cell r="E403" t="str">
            <v>CL</v>
          </cell>
          <cell r="F403" t="str">
            <v>Taylor, C.A.</v>
          </cell>
          <cell r="G403" t="str">
            <v>PERF</v>
          </cell>
          <cell r="H403">
            <v>13.75</v>
          </cell>
          <cell r="I403">
            <v>0</v>
          </cell>
        </row>
        <row r="404">
          <cell r="B404" t="str">
            <v>0201452122207</v>
          </cell>
          <cell r="C404" t="str">
            <v>ART OF THE GOOD DINOSAUR</v>
          </cell>
          <cell r="D404" t="str">
            <v>R</v>
          </cell>
          <cell r="E404" t="str">
            <v>CL</v>
          </cell>
          <cell r="F404" t="str">
            <v>Lasseter, John ; Lasseter, John ; Sohn, Peter</v>
          </cell>
          <cell r="G404" t="str">
            <v>PERF</v>
          </cell>
          <cell r="H404">
            <v>14</v>
          </cell>
          <cell r="I404">
            <v>0</v>
          </cell>
        </row>
        <row r="405">
          <cell r="B405" t="str">
            <v>0201452122214</v>
          </cell>
          <cell r="C405" t="str">
            <v>ART OF BIG HERO 6</v>
          </cell>
          <cell r="D405" t="str">
            <v>R</v>
          </cell>
          <cell r="E405" t="str">
            <v>CL</v>
          </cell>
          <cell r="F405" t="str">
            <v>Julius, Jessica ; Lasseter, John ; Hall, Don</v>
          </cell>
          <cell r="G405" t="str">
            <v>ARTS</v>
          </cell>
          <cell r="H405">
            <v>13.75</v>
          </cell>
          <cell r="I405">
            <v>0</v>
          </cell>
        </row>
        <row r="406">
          <cell r="B406" t="str">
            <v>0201452122245</v>
          </cell>
          <cell r="C406" t="str">
            <v>ART OF FINDING DORY</v>
          </cell>
          <cell r="D406" t="str">
            <v>R</v>
          </cell>
          <cell r="E406" t="str">
            <v>CL</v>
          </cell>
          <cell r="F406" t="str">
            <v>Lasseter, John ; Stanton, Andrew ; Pilcher, Steve</v>
          </cell>
          <cell r="G406" t="str">
            <v>ARTS</v>
          </cell>
          <cell r="H406">
            <v>9.99</v>
          </cell>
          <cell r="I406">
            <v>50</v>
          </cell>
        </row>
        <row r="407">
          <cell r="B407" t="str">
            <v>0201452122283</v>
          </cell>
          <cell r="C407" t="str">
            <v>FUNNY!</v>
          </cell>
          <cell r="D407" t="str">
            <v>R</v>
          </cell>
          <cell r="E407" t="str">
            <v>CL</v>
          </cell>
          <cell r="F407" t="str">
            <v>Lasseter, John ; Katz, Jason</v>
          </cell>
          <cell r="G407" t="str">
            <v>PERF</v>
          </cell>
          <cell r="H407">
            <v>10.49</v>
          </cell>
          <cell r="I407">
            <v>0</v>
          </cell>
        </row>
        <row r="408">
          <cell r="B408" t="str">
            <v>0201452122320</v>
          </cell>
          <cell r="C408" t="str">
            <v>WE WITHOUT YOU</v>
          </cell>
          <cell r="D408" t="str">
            <v>R</v>
          </cell>
          <cell r="E408" t="str">
            <v>CL</v>
          </cell>
          <cell r="F408" t="str">
            <v>Swerling, Lisa ; Lazar, Ralph</v>
          </cell>
          <cell r="G408" t="str">
            <v>FAMI</v>
          </cell>
          <cell r="H408">
            <v>2.99</v>
          </cell>
          <cell r="I408">
            <v>0</v>
          </cell>
        </row>
        <row r="409">
          <cell r="B409" t="str">
            <v>0201452122337</v>
          </cell>
          <cell r="C409" t="str">
            <v>MOVIES R FUN!</v>
          </cell>
          <cell r="D409" t="str">
            <v>R</v>
          </cell>
          <cell r="E409" t="str">
            <v>CL</v>
          </cell>
          <cell r="F409" t="str">
            <v>Cooley, Josh</v>
          </cell>
          <cell r="G409" t="str">
            <v>HUM</v>
          </cell>
          <cell r="H409">
            <v>4.49</v>
          </cell>
          <cell r="I409">
            <v>0</v>
          </cell>
        </row>
        <row r="410">
          <cell r="B410" t="str">
            <v>0201452122344</v>
          </cell>
          <cell r="C410" t="str">
            <v>BROWN SUGAR KITCHEN</v>
          </cell>
          <cell r="D410" t="str">
            <v>R</v>
          </cell>
          <cell r="E410" t="str">
            <v>CL</v>
          </cell>
          <cell r="F410" t="str">
            <v>Holland, Tanya ; Newberry, Jan ; Horton, Jody</v>
          </cell>
          <cell r="G410" t="str">
            <v>COOK</v>
          </cell>
          <cell r="H410">
            <v>10.49</v>
          </cell>
          <cell r="I410">
            <v>0</v>
          </cell>
        </row>
        <row r="411">
          <cell r="B411" t="str">
            <v>0201452123327</v>
          </cell>
          <cell r="C411" t="str">
            <v>TEDTALKS ACROSS, TMZ DOWN</v>
          </cell>
          <cell r="D411" t="str">
            <v>R</v>
          </cell>
          <cell r="E411" t="str">
            <v>PB</v>
          </cell>
          <cell r="F411" t="str">
            <v>Wilk, David Levinson</v>
          </cell>
          <cell r="G411" t="str">
            <v>SPOR</v>
          </cell>
          <cell r="H411">
            <v>3.49</v>
          </cell>
          <cell r="I411">
            <v>0</v>
          </cell>
        </row>
        <row r="412">
          <cell r="B412" t="str">
            <v>0201452123389</v>
          </cell>
          <cell r="C412" t="str">
            <v>EXTRA SPECIAL DELIVERY JOURNAL</v>
          </cell>
          <cell r="D412" t="str">
            <v>R</v>
          </cell>
          <cell r="E412" t="str">
            <v>JN</v>
          </cell>
          <cell r="F412" t="str">
            <v>Dear Hancock</v>
          </cell>
          <cell r="G412" t="str">
            <v>GIFT</v>
          </cell>
          <cell r="H412">
            <v>3.49</v>
          </cell>
          <cell r="I412">
            <v>0</v>
          </cell>
        </row>
        <row r="413">
          <cell r="B413" t="str">
            <v>0201452123433</v>
          </cell>
          <cell r="C413" t="str">
            <v>LOWRIDERS TO THE CENTER OF THE</v>
          </cell>
          <cell r="D413" t="str">
            <v>R</v>
          </cell>
          <cell r="E413" t="str">
            <v>CL</v>
          </cell>
          <cell r="F413" t="str">
            <v>Camper, Cathy</v>
          </cell>
          <cell r="G413" t="str">
            <v>CHIL</v>
          </cell>
          <cell r="H413">
            <v>8</v>
          </cell>
          <cell r="I413">
            <v>0</v>
          </cell>
        </row>
        <row r="414">
          <cell r="B414" t="str">
            <v>0201452123525</v>
          </cell>
          <cell r="C414" t="str">
            <v>HUCKLEBERRY</v>
          </cell>
          <cell r="D414" t="str">
            <v>R</v>
          </cell>
          <cell r="E414" t="str">
            <v>CL</v>
          </cell>
          <cell r="F414" t="str">
            <v>Nathan, Zoe ; Almerinda, Laurel ; Loeb, Josh</v>
          </cell>
          <cell r="G414" t="str">
            <v>COOK</v>
          </cell>
          <cell r="H414">
            <v>12.5</v>
          </cell>
          <cell r="I414">
            <v>0</v>
          </cell>
        </row>
        <row r="415">
          <cell r="B415" t="str">
            <v>0201452123655</v>
          </cell>
          <cell r="C415" t="str">
            <v>FAMOUS FROCKS: THE LITTLE BLAC</v>
          </cell>
          <cell r="D415" t="str">
            <v>R</v>
          </cell>
          <cell r="E415" t="str">
            <v>CL</v>
          </cell>
          <cell r="F415" t="str">
            <v>O'Shea, Dolin Bliss ; Castro, Daniel</v>
          </cell>
          <cell r="G415" t="str">
            <v>DESI</v>
          </cell>
          <cell r="H415">
            <v>7.99</v>
          </cell>
          <cell r="I415">
            <v>0</v>
          </cell>
        </row>
        <row r="416">
          <cell r="B416" t="str">
            <v>0201452123686</v>
          </cell>
          <cell r="C416" t="str">
            <v>EGGS ON TOP</v>
          </cell>
          <cell r="D416" t="str">
            <v>R</v>
          </cell>
          <cell r="E416" t="str">
            <v>PB</v>
          </cell>
          <cell r="F416" t="str">
            <v>Slonecker, Andrea ; Reamer, David L.</v>
          </cell>
          <cell r="G416" t="str">
            <v>COOK</v>
          </cell>
          <cell r="H416">
            <v>6.99</v>
          </cell>
          <cell r="I416">
            <v>84</v>
          </cell>
        </row>
        <row r="417">
          <cell r="B417" t="str">
            <v>0201452124072</v>
          </cell>
          <cell r="C417" t="str">
            <v>BONJOUR CAMILLE</v>
          </cell>
          <cell r="D417" t="str">
            <v>R</v>
          </cell>
          <cell r="E417" t="str">
            <v>CL</v>
          </cell>
          <cell r="F417" t="str">
            <v>Cano, Felipe ; Aguilar, Laia</v>
          </cell>
          <cell r="G417" t="str">
            <v>CHIL</v>
          </cell>
          <cell r="H417">
            <v>3.99</v>
          </cell>
          <cell r="I417">
            <v>155</v>
          </cell>
        </row>
        <row r="418">
          <cell r="B418" t="str">
            <v>0201452124089</v>
          </cell>
          <cell r="C418" t="str">
            <v>BEACH HOUSE</v>
          </cell>
          <cell r="D418" t="str">
            <v>R</v>
          </cell>
          <cell r="E418" t="str">
            <v>CL</v>
          </cell>
          <cell r="F418" t="str">
            <v>Caswell, Deanna ; Bates, Amy June</v>
          </cell>
          <cell r="G418" t="str">
            <v>CHIL</v>
          </cell>
          <cell r="H418">
            <v>6</v>
          </cell>
          <cell r="I418">
            <v>0</v>
          </cell>
        </row>
        <row r="419">
          <cell r="B419" t="str">
            <v>0201452124508</v>
          </cell>
          <cell r="C419" t="str">
            <v>MR. SPOCK</v>
          </cell>
          <cell r="D419" t="str">
            <v>R</v>
          </cell>
          <cell r="E419" t="str">
            <v>MI</v>
          </cell>
          <cell r="F419" t="str">
            <v>Chronicle Books Staff</v>
          </cell>
          <cell r="G419" t="str">
            <v>PERF</v>
          </cell>
          <cell r="H419">
            <v>6.99</v>
          </cell>
          <cell r="I419">
            <v>0</v>
          </cell>
        </row>
        <row r="420">
          <cell r="B420" t="str">
            <v>0201452124515</v>
          </cell>
          <cell r="C420" t="str">
            <v>KNIT IT!</v>
          </cell>
          <cell r="D420" t="str">
            <v>R</v>
          </cell>
          <cell r="E420" t="str">
            <v>PB</v>
          </cell>
          <cell r="F420" t="str">
            <v>Leapman, Melissa ; Grablewski, Alexandra</v>
          </cell>
          <cell r="G420" t="str">
            <v>CRAF</v>
          </cell>
          <cell r="H420">
            <v>8.24</v>
          </cell>
          <cell r="I420">
            <v>0</v>
          </cell>
        </row>
        <row r="421">
          <cell r="B421" t="str">
            <v>0201452124546</v>
          </cell>
          <cell r="C421" t="str">
            <v>HERE COMES DESTRUCTOSAURUS!</v>
          </cell>
          <cell r="D421" t="str">
            <v>R</v>
          </cell>
          <cell r="E421" t="str">
            <v>CL</v>
          </cell>
          <cell r="F421" t="str">
            <v>Reynolds, Aaron ; Tankard, Jeremy</v>
          </cell>
          <cell r="G421" t="str">
            <v>CHIL</v>
          </cell>
          <cell r="H421">
            <v>5.75</v>
          </cell>
          <cell r="I421">
            <v>0</v>
          </cell>
        </row>
        <row r="422">
          <cell r="B422" t="str">
            <v>0201452124560</v>
          </cell>
          <cell r="C422" t="str">
            <v>UPSIDE DOWN IN THE MIDDLE </v>
          </cell>
          <cell r="D422" t="str">
            <v>R</v>
          </cell>
          <cell r="E422" t="str">
            <v>CL</v>
          </cell>
          <cell r="F422" t="str">
            <v>Lamana, Julie T.</v>
          </cell>
          <cell r="G422" t="str">
            <v>CHIL</v>
          </cell>
          <cell r="H422">
            <v>5.75</v>
          </cell>
          <cell r="I422">
            <v>0</v>
          </cell>
        </row>
        <row r="423">
          <cell r="B423" t="str">
            <v>0201452124577</v>
          </cell>
          <cell r="C423" t="str">
            <v>GOING OVER</v>
          </cell>
          <cell r="D423" t="str">
            <v>R</v>
          </cell>
          <cell r="E423" t="str">
            <v>CL</v>
          </cell>
          <cell r="F423" t="str">
            <v>Kephart, Beth</v>
          </cell>
          <cell r="G423" t="str">
            <v>CHIL</v>
          </cell>
          <cell r="H423">
            <v>4.99</v>
          </cell>
          <cell r="I423">
            <v>219</v>
          </cell>
        </row>
        <row r="424">
          <cell r="B424" t="str">
            <v>0201452124584</v>
          </cell>
          <cell r="C424" t="str">
            <v>LAND SHARK</v>
          </cell>
          <cell r="D424" t="str">
            <v>R</v>
          </cell>
          <cell r="E424" t="str">
            <v>CL</v>
          </cell>
          <cell r="F424" t="str">
            <v>Ferry, Beth ; Mantle, Ben ; Mantle, Ben</v>
          </cell>
          <cell r="G424" t="str">
            <v>CHIL</v>
          </cell>
          <cell r="H424">
            <v>4.99</v>
          </cell>
          <cell r="I424">
            <v>268</v>
          </cell>
        </row>
        <row r="425">
          <cell r="B425" t="str">
            <v>0201452124645</v>
          </cell>
          <cell r="C425" t="str">
            <v>HOP, HOP BUNNY</v>
          </cell>
          <cell r="D425" t="str">
            <v>R</v>
          </cell>
          <cell r="E425" t="str">
            <v>BD</v>
          </cell>
          <cell r="F425" t="str">
            <v>Schwartz, Betty Ann ; Seresin, Lynn ; Ng, Neiko</v>
          </cell>
          <cell r="G425" t="str">
            <v>CHIL</v>
          </cell>
          <cell r="H425">
            <v>3</v>
          </cell>
          <cell r="I425">
            <v>0</v>
          </cell>
        </row>
        <row r="426">
          <cell r="B426" t="str">
            <v>0201452124676</v>
          </cell>
          <cell r="C426" t="str">
            <v>RUN, RUN PIGLET</v>
          </cell>
          <cell r="D426" t="str">
            <v>R</v>
          </cell>
          <cell r="E426" t="str">
            <v>BD</v>
          </cell>
          <cell r="F426" t="str">
            <v>Schwartz, Betty Ann ; Seresin, Lynn ; Ng, Neiko</v>
          </cell>
          <cell r="G426" t="str">
            <v>CHIL</v>
          </cell>
          <cell r="H426">
            <v>3.38</v>
          </cell>
          <cell r="I426">
            <v>0</v>
          </cell>
        </row>
        <row r="427">
          <cell r="B427" t="str">
            <v>0201452124850</v>
          </cell>
          <cell r="C427" t="str">
            <v>SOUTHERN SOUPS &amp; STEWS</v>
          </cell>
          <cell r="D427" t="str">
            <v>R</v>
          </cell>
          <cell r="E427" t="str">
            <v>PB</v>
          </cell>
          <cell r="F427" t="str">
            <v>McDermott, Nancie ; Beisch, Leigh</v>
          </cell>
          <cell r="G427" t="str">
            <v>COOK</v>
          </cell>
          <cell r="H427">
            <v>8.99</v>
          </cell>
          <cell r="I427">
            <v>0</v>
          </cell>
        </row>
        <row r="428">
          <cell r="B428" t="str">
            <v>0201452124935</v>
          </cell>
          <cell r="C428" t="str">
            <v>642 PLACES TO DRAW</v>
          </cell>
          <cell r="D428" t="str">
            <v>R</v>
          </cell>
          <cell r="E428" t="str">
            <v>JN</v>
          </cell>
          <cell r="G428" t="str">
            <v>ARTS</v>
          </cell>
          <cell r="H428">
            <v>5.99</v>
          </cell>
          <cell r="I428">
            <v>0</v>
          </cell>
        </row>
        <row r="429">
          <cell r="B429" t="str">
            <v>0201452124959</v>
          </cell>
          <cell r="C429" t="str">
            <v>CIAO BISCOTTI</v>
          </cell>
          <cell r="D429" t="str">
            <v>R</v>
          </cell>
          <cell r="E429" t="str">
            <v>CL</v>
          </cell>
          <cell r="F429" t="str">
            <v>Marchetti, Domenica ; Achilleos, Antonis ; Katz, Jason</v>
          </cell>
          <cell r="G429" t="str">
            <v>COOK</v>
          </cell>
          <cell r="H429">
            <v>6.74</v>
          </cell>
          <cell r="I429">
            <v>0</v>
          </cell>
        </row>
        <row r="430">
          <cell r="B430" t="str">
            <v>0201452124997</v>
          </cell>
          <cell r="C430" t="str">
            <v>LOOKS I LIKE</v>
          </cell>
          <cell r="D430" t="str">
            <v>R</v>
          </cell>
          <cell r="E430" t="str">
            <v>JN</v>
          </cell>
          <cell r="F430" t="str">
            <v>Chronicle Books</v>
          </cell>
          <cell r="G430" t="str">
            <v>CRAF</v>
          </cell>
          <cell r="H430">
            <v>5.99</v>
          </cell>
          <cell r="I430">
            <v>0</v>
          </cell>
        </row>
        <row r="431">
          <cell r="B431" t="str">
            <v>0201452125000</v>
          </cell>
          <cell r="C431" t="str">
            <v>SEA BONES</v>
          </cell>
          <cell r="D431" t="str">
            <v>R</v>
          </cell>
          <cell r="E431" t="str">
            <v>CL</v>
          </cell>
          <cell r="F431" t="str">
            <v>Barner, Bob</v>
          </cell>
          <cell r="G431" t="str">
            <v>CHIL</v>
          </cell>
          <cell r="H431">
            <v>6</v>
          </cell>
          <cell r="I431">
            <v>0</v>
          </cell>
        </row>
        <row r="432">
          <cell r="B432" t="str">
            <v>0201452125390</v>
          </cell>
          <cell r="C432" t="str">
            <v>JUICE IT!</v>
          </cell>
          <cell r="D432" t="str">
            <v>R</v>
          </cell>
          <cell r="E432" t="str">
            <v>PB</v>
          </cell>
          <cell r="F432" t="str">
            <v>Asbell, Robin ; Achilleos, Antonis</v>
          </cell>
          <cell r="G432" t="str">
            <v>COOK</v>
          </cell>
          <cell r="H432">
            <v>6.74</v>
          </cell>
          <cell r="I432">
            <v>0</v>
          </cell>
        </row>
        <row r="433">
          <cell r="B433" t="str">
            <v>0201452125505</v>
          </cell>
          <cell r="C433" t="str">
            <v>PENGUINS HATE STUFF</v>
          </cell>
          <cell r="D433" t="str">
            <v>R</v>
          </cell>
          <cell r="E433" t="str">
            <v>CL</v>
          </cell>
          <cell r="F433" t="str">
            <v>Stones, Greg</v>
          </cell>
          <cell r="G433" t="str">
            <v>HUM</v>
          </cell>
          <cell r="H433">
            <v>2.99</v>
          </cell>
          <cell r="I433">
            <v>0</v>
          </cell>
        </row>
        <row r="434">
          <cell r="B434" t="str">
            <v>0201452125529</v>
          </cell>
          <cell r="C434" t="str">
            <v>WORLD OF ERIC CARLE VHC COOKBO</v>
          </cell>
          <cell r="D434" t="str">
            <v>R</v>
          </cell>
          <cell r="E434" t="str">
            <v>KT</v>
          </cell>
          <cell r="F434" t="str">
            <v>Starr, Lara ; Carden, Matthew</v>
          </cell>
          <cell r="G434" t="str">
            <v>CHIL</v>
          </cell>
          <cell r="H434">
            <v>7.5</v>
          </cell>
          <cell r="I434">
            <v>0</v>
          </cell>
        </row>
        <row r="435">
          <cell r="B435" t="str">
            <v>0201452125543</v>
          </cell>
          <cell r="C435" t="str">
            <v>CHINA DAYS</v>
          </cell>
          <cell r="D435" t="str">
            <v>R</v>
          </cell>
          <cell r="E435" t="str">
            <v>CL</v>
          </cell>
          <cell r="F435" t="str">
            <v>Drescher, Henrik</v>
          </cell>
          <cell r="G435" t="str">
            <v>ARTS</v>
          </cell>
          <cell r="H435">
            <v>8.49</v>
          </cell>
          <cell r="I435">
            <v>0</v>
          </cell>
        </row>
        <row r="436">
          <cell r="B436" t="str">
            <v>0201452125871</v>
          </cell>
          <cell r="C436" t="str">
            <v>STEAM TRAIN, DREAM TRAIN PUZZL</v>
          </cell>
          <cell r="D436" t="str">
            <v>R</v>
          </cell>
          <cell r="E436" t="str">
            <v>PZ</v>
          </cell>
          <cell r="F436" t="str">
            <v>Rinker, Sherri Duskey ; Lichtenheld, Tom</v>
          </cell>
          <cell r="G436" t="str">
            <v>CHIL</v>
          </cell>
          <cell r="H436">
            <v>5.63</v>
          </cell>
          <cell r="I436">
            <v>0</v>
          </cell>
        </row>
        <row r="437">
          <cell r="B437" t="str">
            <v>0201452125888</v>
          </cell>
          <cell r="C437" t="str">
            <v>IN THIS BOOK</v>
          </cell>
          <cell r="D437" t="str">
            <v>R</v>
          </cell>
          <cell r="E437" t="str">
            <v>CL</v>
          </cell>
          <cell r="F437" t="str">
            <v>Marceau, Fani ; Jolivet, Joelle</v>
          </cell>
          <cell r="G437" t="str">
            <v>CHIL</v>
          </cell>
          <cell r="H437">
            <v>4.99</v>
          </cell>
          <cell r="I437">
            <v>90</v>
          </cell>
        </row>
        <row r="438">
          <cell r="B438" t="str">
            <v>0201452125932</v>
          </cell>
          <cell r="C438" t="str">
            <v>LOLLIPOP LOVE</v>
          </cell>
          <cell r="D438" t="str">
            <v>R</v>
          </cell>
          <cell r="E438" t="str">
            <v>CL</v>
          </cell>
          <cell r="F438" t="str">
            <v>Chu, Anita ; Achilleos, Antonis</v>
          </cell>
          <cell r="G438" t="str">
            <v>COOK</v>
          </cell>
          <cell r="H438">
            <v>4.99</v>
          </cell>
          <cell r="I438">
            <v>90</v>
          </cell>
        </row>
        <row r="439">
          <cell r="B439" t="str">
            <v>0201452126397</v>
          </cell>
          <cell r="C439" t="str">
            <v>BALLS ON THE LAWN</v>
          </cell>
          <cell r="D439" t="str">
            <v>R</v>
          </cell>
          <cell r="E439" t="str">
            <v>PB</v>
          </cell>
          <cell r="F439" t="str">
            <v>Hays, Brooks Butler ; Stein, Jeremy</v>
          </cell>
          <cell r="G439" t="str">
            <v>HUM</v>
          </cell>
          <cell r="H439">
            <v>4.49</v>
          </cell>
          <cell r="I439">
            <v>0</v>
          </cell>
        </row>
        <row r="440">
          <cell r="B440" t="str">
            <v>0201452126458</v>
          </cell>
          <cell r="C440" t="str">
            <v>HOW TO SPEAK BASEBALL</v>
          </cell>
          <cell r="D440" t="str">
            <v>R</v>
          </cell>
          <cell r="E440" t="str">
            <v>CL</v>
          </cell>
          <cell r="F440" t="str">
            <v>Charlton, James ; Cook, Sally ; MacDonald, Ross</v>
          </cell>
          <cell r="G440" t="str">
            <v>SPOR</v>
          </cell>
          <cell r="H440">
            <v>5.24</v>
          </cell>
          <cell r="I440">
            <v>0</v>
          </cell>
        </row>
        <row r="441">
          <cell r="B441" t="str">
            <v>0201452126496</v>
          </cell>
          <cell r="C441" t="str">
            <v>YOU ARE MY BABY: GARDEN</v>
          </cell>
          <cell r="D441" t="str">
            <v>R</v>
          </cell>
          <cell r="E441" t="str">
            <v>CL</v>
          </cell>
          <cell r="F441" t="str">
            <v>Siminovich, Lorena</v>
          </cell>
          <cell r="G441" t="str">
            <v>CHIL</v>
          </cell>
          <cell r="H441">
            <v>3</v>
          </cell>
          <cell r="I441">
            <v>0</v>
          </cell>
        </row>
        <row r="442">
          <cell r="B442" t="str">
            <v>0201452126571</v>
          </cell>
          <cell r="C442" t="str">
            <v>GRUMPY CAT</v>
          </cell>
          <cell r="D442" t="str">
            <v>R</v>
          </cell>
          <cell r="E442" t="str">
            <v>CL</v>
          </cell>
          <cell r="G442" t="str">
            <v>HUM</v>
          </cell>
          <cell r="H442">
            <v>3.99</v>
          </cell>
          <cell r="I442">
            <v>679</v>
          </cell>
        </row>
        <row r="443">
          <cell r="B443" t="str">
            <v>0201452127011</v>
          </cell>
          <cell r="C443" t="str">
            <v>OPEN OCEAN</v>
          </cell>
          <cell r="D443" t="str">
            <v>R</v>
          </cell>
          <cell r="E443" t="str">
            <v>CL</v>
          </cell>
          <cell r="F443" t="str">
            <v>Pittau, Francesco ; Gervais, Bernadette</v>
          </cell>
          <cell r="G443" t="str">
            <v>CHIL</v>
          </cell>
          <cell r="H443">
            <v>8.38</v>
          </cell>
          <cell r="I443">
            <v>0</v>
          </cell>
        </row>
        <row r="444">
          <cell r="B444" t="str">
            <v>0201452127028</v>
          </cell>
          <cell r="C444" t="str">
            <v>GOOD HOME FOR MAX</v>
          </cell>
          <cell r="D444" t="str">
            <v>R</v>
          </cell>
          <cell r="E444" t="str">
            <v>CL</v>
          </cell>
          <cell r="F444" t="str">
            <v>Terada, Junzo</v>
          </cell>
          <cell r="G444" t="str">
            <v>CHIL</v>
          </cell>
          <cell r="H444">
            <v>5.75</v>
          </cell>
          <cell r="I444">
            <v>0</v>
          </cell>
        </row>
        <row r="445">
          <cell r="B445" t="str">
            <v>0201452127042</v>
          </cell>
          <cell r="C445" t="str">
            <v>TEMPLETON TWINS HAVE AN IDEA</v>
          </cell>
          <cell r="D445" t="str">
            <v>R</v>
          </cell>
          <cell r="E445" t="str">
            <v>PB</v>
          </cell>
          <cell r="F445" t="str">
            <v>Weiner, Ellis ; Holmes, Jeremy</v>
          </cell>
          <cell r="G445" t="str">
            <v>CHIL</v>
          </cell>
          <cell r="H445">
            <v>1.99</v>
          </cell>
          <cell r="I445">
            <v>340</v>
          </cell>
        </row>
        <row r="446">
          <cell r="B446" t="str">
            <v>0201452127097</v>
          </cell>
          <cell r="C446" t="str">
            <v>EXTRAORDINARY PEOPLE</v>
          </cell>
          <cell r="D446" t="str">
            <v>R</v>
          </cell>
          <cell r="E446" t="str">
            <v>CL</v>
          </cell>
          <cell r="F446" t="str">
            <v>Hearst, Michael ; Scamihorn, Aaron</v>
          </cell>
          <cell r="G446" t="str">
            <v>BIOG</v>
          </cell>
          <cell r="H446">
            <v>4.99</v>
          </cell>
          <cell r="I446">
            <v>30</v>
          </cell>
        </row>
        <row r="447">
          <cell r="B447" t="str">
            <v>0201452127523</v>
          </cell>
          <cell r="C447" t="str">
            <v>CURIOUS GEORGE GROWTH CHART</v>
          </cell>
          <cell r="D447" t="str">
            <v>R</v>
          </cell>
          <cell r="E447" t="str">
            <v>MI</v>
          </cell>
          <cell r="F447" t="str">
            <v>Curious George</v>
          </cell>
          <cell r="G447" t="str">
            <v>GIFT</v>
          </cell>
          <cell r="H447">
            <v>3.99</v>
          </cell>
          <cell r="I447">
            <v>0</v>
          </cell>
        </row>
        <row r="448">
          <cell r="B448" t="str">
            <v>0201452127813</v>
          </cell>
          <cell r="C448" t="str">
            <v>EVERYDAY RICE COOKER</v>
          </cell>
          <cell r="D448" t="str">
            <v>R</v>
          </cell>
          <cell r="E448" t="str">
            <v>PB</v>
          </cell>
          <cell r="F448" t="str">
            <v>Phillips, Diane ; Causey, Jennifer</v>
          </cell>
          <cell r="G448" t="str">
            <v>COOK</v>
          </cell>
          <cell r="H448">
            <v>8.99</v>
          </cell>
          <cell r="I448">
            <v>0</v>
          </cell>
        </row>
        <row r="449">
          <cell r="B449" t="str">
            <v>0201452127967</v>
          </cell>
          <cell r="C449" t="str">
            <v>PRAIRIE STYLE WEDDINGS</v>
          </cell>
          <cell r="D449" t="str">
            <v>R</v>
          </cell>
          <cell r="E449" t="str">
            <v>CL</v>
          </cell>
          <cell r="F449" t="str">
            <v>O'Neill, Fifi</v>
          </cell>
          <cell r="G449" t="str">
            <v>REF</v>
          </cell>
          <cell r="H449">
            <v>7.99</v>
          </cell>
          <cell r="I449">
            <v>226</v>
          </cell>
        </row>
        <row r="450">
          <cell r="B450" t="str">
            <v>0201452127998</v>
          </cell>
          <cell r="C450" t="str">
            <v>ART OF PLANES</v>
          </cell>
          <cell r="D450" t="str">
            <v>R</v>
          </cell>
          <cell r="E450" t="str">
            <v>CL</v>
          </cell>
          <cell r="F450" t="str">
            <v>Miller-Zarneke, Tracey ; Lasseter, John ; Hall, Klay</v>
          </cell>
          <cell r="G450" t="str">
            <v>ARTS</v>
          </cell>
          <cell r="H450">
            <v>9.99</v>
          </cell>
          <cell r="I450">
            <v>160</v>
          </cell>
        </row>
        <row r="451">
          <cell r="B451" t="str">
            <v>0201452128063</v>
          </cell>
          <cell r="C451" t="str">
            <v>NEW GERMAN COOKING</v>
          </cell>
          <cell r="D451" t="str">
            <v>R</v>
          </cell>
          <cell r="E451" t="str">
            <v>CL</v>
          </cell>
          <cell r="F451" t="str">
            <v>Nolen, Jeremy ; Nolen, Jessica ; Lazor, Drew</v>
          </cell>
          <cell r="G451" t="str">
            <v>COOK</v>
          </cell>
          <cell r="H451">
            <v>13.75</v>
          </cell>
          <cell r="I451">
            <v>0</v>
          </cell>
        </row>
        <row r="452">
          <cell r="B452" t="str">
            <v>0201452128100</v>
          </cell>
          <cell r="C452" t="str">
            <v>DAILY FACE</v>
          </cell>
          <cell r="D452" t="str">
            <v>R</v>
          </cell>
          <cell r="E452" t="str">
            <v>PB</v>
          </cell>
          <cell r="F452" t="str">
            <v>Tendler, Annamarie ; Ouellette, Justin</v>
          </cell>
          <cell r="G452" t="str">
            <v>HEAL</v>
          </cell>
          <cell r="H452">
            <v>4.99</v>
          </cell>
          <cell r="I452">
            <v>249</v>
          </cell>
        </row>
        <row r="453">
          <cell r="B453" t="str">
            <v>0201452128230</v>
          </cell>
          <cell r="C453" t="str">
            <v>EVERY PERSON IN NEW YORK</v>
          </cell>
          <cell r="D453" t="str">
            <v>R</v>
          </cell>
          <cell r="E453" t="str">
            <v>PB</v>
          </cell>
          <cell r="F453" t="str">
            <v>Polan, Jason ; Wiig, Kristen</v>
          </cell>
          <cell r="G453" t="str">
            <v>ARTS</v>
          </cell>
          <cell r="H453">
            <v>6.99</v>
          </cell>
          <cell r="I453">
            <v>60</v>
          </cell>
        </row>
        <row r="454">
          <cell r="B454" t="str">
            <v>0201452128278</v>
          </cell>
          <cell r="C454" t="str">
            <v>WHO, THE WHAT, AND THE WHEN</v>
          </cell>
          <cell r="D454" t="str">
            <v>R</v>
          </cell>
          <cell r="E454" t="str">
            <v>CL</v>
          </cell>
          <cell r="F454" t="str">
            <v>Volvovski, Jenny ; Rothman, Julia ; Lamothe, Matt</v>
          </cell>
          <cell r="G454" t="str">
            <v>ARTS</v>
          </cell>
          <cell r="H454">
            <v>8.99</v>
          </cell>
          <cell r="I454">
            <v>0</v>
          </cell>
        </row>
        <row r="455">
          <cell r="B455" t="str">
            <v>0201452128315</v>
          </cell>
          <cell r="C455" t="str">
            <v>ONE THING STOLEN</v>
          </cell>
          <cell r="D455" t="str">
            <v>R</v>
          </cell>
          <cell r="E455" t="str">
            <v>CL</v>
          </cell>
          <cell r="F455" t="str">
            <v>Kephart, Beth</v>
          </cell>
          <cell r="G455" t="str">
            <v>CHIL</v>
          </cell>
          <cell r="H455">
            <v>6</v>
          </cell>
          <cell r="I455">
            <v>0</v>
          </cell>
        </row>
        <row r="456">
          <cell r="B456" t="str">
            <v>0201452128339</v>
          </cell>
          <cell r="C456" t="str">
            <v>DANCING WITH CATS</v>
          </cell>
          <cell r="D456" t="str">
            <v>R</v>
          </cell>
          <cell r="E456" t="str">
            <v>CL</v>
          </cell>
          <cell r="F456" t="str">
            <v>Silver, Burton ; Busch, Heather</v>
          </cell>
          <cell r="G456" t="str">
            <v>PERF</v>
          </cell>
          <cell r="H456">
            <v>5.49</v>
          </cell>
          <cell r="I456">
            <v>0</v>
          </cell>
        </row>
        <row r="457">
          <cell r="B457" t="str">
            <v>0201452128353</v>
          </cell>
          <cell r="C457" t="str">
            <v>ART OF THE BOXTROLLS</v>
          </cell>
          <cell r="D457" t="str">
            <v>R</v>
          </cell>
          <cell r="E457" t="str">
            <v>CL</v>
          </cell>
          <cell r="F457" t="str">
            <v>Brotherton, Phil ; Knight, Travis ; Stacchi, Anthony</v>
          </cell>
          <cell r="G457" t="str">
            <v>ARTS</v>
          </cell>
          <cell r="H457">
            <v>13.75</v>
          </cell>
          <cell r="I457">
            <v>0</v>
          </cell>
        </row>
        <row r="458">
          <cell r="B458" t="str">
            <v>0201452128407</v>
          </cell>
          <cell r="C458" t="str">
            <v>HOMELAND REVEALED</v>
          </cell>
          <cell r="D458" t="str">
            <v>R</v>
          </cell>
          <cell r="E458" t="str">
            <v>CL</v>
          </cell>
          <cell r="F458" t="str">
            <v>Hurwitz, Matt</v>
          </cell>
          <cell r="G458" t="str">
            <v>PERF</v>
          </cell>
          <cell r="H458">
            <v>8.49</v>
          </cell>
          <cell r="I458">
            <v>0</v>
          </cell>
        </row>
        <row r="459">
          <cell r="B459" t="str">
            <v>0201452128544</v>
          </cell>
          <cell r="C459" t="str">
            <v>NOBODY'S SECRET</v>
          </cell>
          <cell r="D459" t="str">
            <v>R</v>
          </cell>
          <cell r="E459" t="str">
            <v>PB</v>
          </cell>
          <cell r="F459" t="str">
            <v>MacColl, Michaela</v>
          </cell>
          <cell r="G459" t="str">
            <v>CHIL</v>
          </cell>
          <cell r="H459">
            <v>3</v>
          </cell>
          <cell r="I459">
            <v>0</v>
          </cell>
        </row>
        <row r="460">
          <cell r="B460" t="str">
            <v>0201452128735</v>
          </cell>
          <cell r="C460" t="str">
            <v>CLOCKWORK SCARAB</v>
          </cell>
          <cell r="D460" t="str">
            <v>R</v>
          </cell>
          <cell r="E460" t="str">
            <v>PB</v>
          </cell>
          <cell r="F460" t="str">
            <v>Gleason, Colleen</v>
          </cell>
          <cell r="G460" t="str">
            <v>YAF</v>
          </cell>
          <cell r="H460">
            <v>3.5</v>
          </cell>
          <cell r="I460">
            <v>84</v>
          </cell>
        </row>
        <row r="461">
          <cell r="B461" t="str">
            <v>0201452128759</v>
          </cell>
          <cell r="C461" t="str">
            <v>FISH FINELLI (BOOK 2)</v>
          </cell>
          <cell r="D461" t="str">
            <v>R</v>
          </cell>
          <cell r="E461" t="str">
            <v>PB</v>
          </cell>
          <cell r="F461" t="str">
            <v>Farber, E.S. ; Beene, Jason</v>
          </cell>
          <cell r="G461" t="str">
            <v>CHIL</v>
          </cell>
          <cell r="H461">
            <v>2.5</v>
          </cell>
          <cell r="I461">
            <v>0</v>
          </cell>
        </row>
        <row r="462">
          <cell r="B462" t="str">
            <v>0201452128766</v>
          </cell>
          <cell r="C462" t="str">
            <v>MEANING OF MAGGIE</v>
          </cell>
          <cell r="D462" t="str">
            <v>R</v>
          </cell>
          <cell r="E462" t="str">
            <v>PB</v>
          </cell>
          <cell r="F462" t="str">
            <v>Sovern, Megan Jean</v>
          </cell>
          <cell r="G462" t="str">
            <v>CHIL</v>
          </cell>
          <cell r="H462">
            <v>2.5</v>
          </cell>
          <cell r="I462">
            <v>0</v>
          </cell>
        </row>
        <row r="463">
          <cell r="B463" t="str">
            <v>0201452128803</v>
          </cell>
          <cell r="C463" t="str">
            <v>UPSIDE DOWN IN THE MIDDLE OF N</v>
          </cell>
          <cell r="D463" t="str">
            <v>R</v>
          </cell>
          <cell r="E463" t="str">
            <v>PB</v>
          </cell>
          <cell r="F463" t="str">
            <v>Lamana, Julie T.</v>
          </cell>
          <cell r="G463" t="str">
            <v>CHIL</v>
          </cell>
          <cell r="H463">
            <v>1.99</v>
          </cell>
          <cell r="I463">
            <v>147</v>
          </cell>
        </row>
        <row r="464">
          <cell r="B464" t="str">
            <v>0201452128858</v>
          </cell>
          <cell r="C464" t="str">
            <v>SPIRITGLASS CHARADE</v>
          </cell>
          <cell r="D464" t="str">
            <v>R</v>
          </cell>
          <cell r="E464" t="str">
            <v>PB</v>
          </cell>
          <cell r="F464" t="str">
            <v>Gleason, Colleen</v>
          </cell>
          <cell r="G464" t="str">
            <v>CHIL</v>
          </cell>
          <cell r="H464">
            <v>3.24</v>
          </cell>
          <cell r="I464">
            <v>0</v>
          </cell>
        </row>
        <row r="465">
          <cell r="B465" t="str">
            <v>0201452128865</v>
          </cell>
          <cell r="C465" t="str">
            <v>GOING OVER</v>
          </cell>
          <cell r="D465" t="str">
            <v>R</v>
          </cell>
          <cell r="E465" t="str">
            <v>PB</v>
          </cell>
          <cell r="F465" t="str">
            <v>Kephart, Beth</v>
          </cell>
          <cell r="G465" t="str">
            <v>YAF</v>
          </cell>
          <cell r="H465">
            <v>3.5</v>
          </cell>
          <cell r="I465">
            <v>0</v>
          </cell>
        </row>
        <row r="466">
          <cell r="B466" t="str">
            <v>0201452128889</v>
          </cell>
          <cell r="C466" t="str">
            <v>MARIJUANA FOR EVERYBODY!</v>
          </cell>
          <cell r="D466" t="str">
            <v>R</v>
          </cell>
          <cell r="E466" t="str">
            <v>PB</v>
          </cell>
          <cell r="F466" t="str">
            <v>McDonough, Elise</v>
          </cell>
          <cell r="G466" t="str">
            <v>GARD</v>
          </cell>
          <cell r="H466">
            <v>5.74</v>
          </cell>
          <cell r="I466">
            <v>0</v>
          </cell>
        </row>
        <row r="467">
          <cell r="B467" t="str">
            <v>0201452128896</v>
          </cell>
          <cell r="C467" t="str">
            <v>MY ADVENTURES IN ONLINE DATING</v>
          </cell>
          <cell r="D467" t="str">
            <v>R</v>
          </cell>
          <cell r="E467" t="str">
            <v>JN</v>
          </cell>
          <cell r="G467" t="str">
            <v>GIFT</v>
          </cell>
          <cell r="H467">
            <v>4.99</v>
          </cell>
          <cell r="I467">
            <v>0</v>
          </cell>
        </row>
        <row r="468">
          <cell r="B468" t="str">
            <v>0201452128919</v>
          </cell>
          <cell r="C468" t="str">
            <v>FLORA AND THE PENGUIN</v>
          </cell>
          <cell r="D468" t="str">
            <v>R</v>
          </cell>
          <cell r="E468" t="str">
            <v>CL</v>
          </cell>
          <cell r="F468" t="str">
            <v>Idle, Molly</v>
          </cell>
          <cell r="G468" t="str">
            <v>CHIL</v>
          </cell>
          <cell r="H468">
            <v>5.75</v>
          </cell>
          <cell r="I468">
            <v>0</v>
          </cell>
        </row>
        <row r="469">
          <cell r="B469" t="str">
            <v>0201452128933</v>
          </cell>
          <cell r="C469" t="str">
            <v>LATELY LILY BOOK OF FUN</v>
          </cell>
          <cell r="D469" t="str">
            <v>R</v>
          </cell>
          <cell r="E469" t="str">
            <v>PB</v>
          </cell>
          <cell r="F469" t="str">
            <v>Player, Micah</v>
          </cell>
          <cell r="G469" t="str">
            <v>CHIL</v>
          </cell>
          <cell r="H469">
            <v>3.99</v>
          </cell>
          <cell r="I469">
            <v>265</v>
          </cell>
        </row>
        <row r="470">
          <cell r="B470" t="str">
            <v>0201452129039</v>
          </cell>
          <cell r="C470" t="str">
            <v>MEMORY OF AN ELEPHANT</v>
          </cell>
          <cell r="D470" t="str">
            <v>R</v>
          </cell>
          <cell r="E470" t="str">
            <v>CL</v>
          </cell>
          <cell r="F470" t="str">
            <v>Strady, Sophie ; Martin, Jean-Francois</v>
          </cell>
          <cell r="G470" t="str">
            <v>CHIL</v>
          </cell>
          <cell r="H470">
            <v>6.63</v>
          </cell>
          <cell r="I470">
            <v>0</v>
          </cell>
        </row>
        <row r="471">
          <cell r="B471" t="str">
            <v>0201452129053</v>
          </cell>
          <cell r="C471" t="str">
            <v>I CAN PLAY</v>
          </cell>
          <cell r="D471" t="str">
            <v>R</v>
          </cell>
          <cell r="E471" t="str">
            <v>bd</v>
          </cell>
          <cell r="F471" t="str">
            <v>Snyder, Betsy</v>
          </cell>
          <cell r="G471" t="str">
            <v>CHIL</v>
          </cell>
          <cell r="H471">
            <v>3.25</v>
          </cell>
          <cell r="I471">
            <v>0</v>
          </cell>
        </row>
        <row r="472">
          <cell r="B472" t="str">
            <v>0201452129183</v>
          </cell>
          <cell r="C472" t="str">
            <v>DOUBLE HAPPINESS</v>
          </cell>
          <cell r="D472" t="str">
            <v>R</v>
          </cell>
          <cell r="E472" t="str">
            <v>CL</v>
          </cell>
          <cell r="F472" t="str">
            <v>Tupper Ling, Nancy ; Chau, Alina</v>
          </cell>
          <cell r="G472" t="str">
            <v>CHIL</v>
          </cell>
          <cell r="H472">
            <v>6</v>
          </cell>
          <cell r="I472">
            <v>0</v>
          </cell>
        </row>
        <row r="473">
          <cell r="B473" t="str">
            <v>0201452129190</v>
          </cell>
          <cell r="C473" t="str">
            <v>FUN WITH WASHI!</v>
          </cell>
          <cell r="D473" t="str">
            <v>R</v>
          </cell>
          <cell r="E473" t="str">
            <v>PB</v>
          </cell>
          <cell r="F473" t="str">
            <v>Okui, Jessica ; Cao, Angie</v>
          </cell>
          <cell r="G473" t="str">
            <v>CRAF</v>
          </cell>
          <cell r="H473">
            <v>3.99</v>
          </cell>
          <cell r="I473">
            <v>149</v>
          </cell>
        </row>
        <row r="474">
          <cell r="B474" t="str">
            <v>0201452129213</v>
          </cell>
          <cell r="C474" t="str">
            <v>THIS IS RIDICULOUS THIS IS AMA</v>
          </cell>
          <cell r="D474" t="str">
            <v>r</v>
          </cell>
          <cell r="E474" t="str">
            <v>CL</v>
          </cell>
          <cell r="F474" t="str">
            <v>Good, Jason</v>
          </cell>
          <cell r="G474" t="str">
            <v>FAMI</v>
          </cell>
          <cell r="H474">
            <v>4.99</v>
          </cell>
          <cell r="I474">
            <v>0</v>
          </cell>
        </row>
        <row r="475">
          <cell r="B475" t="str">
            <v>0201452129220</v>
          </cell>
          <cell r="C475" t="str">
            <v>ROCK, MEET WINDOW</v>
          </cell>
          <cell r="D475" t="str">
            <v>R</v>
          </cell>
          <cell r="E475" t="str">
            <v>CL</v>
          </cell>
          <cell r="F475" t="str">
            <v>Good, Jason</v>
          </cell>
          <cell r="G475" t="str">
            <v>FAMI</v>
          </cell>
          <cell r="H475">
            <v>7.99</v>
          </cell>
          <cell r="I475">
            <v>0</v>
          </cell>
        </row>
        <row r="476">
          <cell r="B476" t="str">
            <v>0201452129299</v>
          </cell>
          <cell r="C476" t="str">
            <v>I CAN DANCE</v>
          </cell>
          <cell r="D476" t="str">
            <v>R</v>
          </cell>
          <cell r="E476" t="str">
            <v>BD</v>
          </cell>
          <cell r="F476" t="str">
            <v>Snyder, Betsy</v>
          </cell>
          <cell r="G476" t="str">
            <v>CHIL</v>
          </cell>
          <cell r="H476">
            <v>3.25</v>
          </cell>
          <cell r="I476">
            <v>0</v>
          </cell>
        </row>
        <row r="477">
          <cell r="B477" t="str">
            <v>0201452129336</v>
          </cell>
          <cell r="C477" t="str">
            <v>BRIGHT SPOTS JOURNAL</v>
          </cell>
          <cell r="D477" t="str">
            <v>R</v>
          </cell>
          <cell r="E477" t="str">
            <v>JN</v>
          </cell>
          <cell r="G477" t="str">
            <v>GIFT</v>
          </cell>
          <cell r="H477">
            <v>3.99</v>
          </cell>
          <cell r="I477">
            <v>60</v>
          </cell>
        </row>
        <row r="478">
          <cell r="B478" t="str">
            <v>0201452129374</v>
          </cell>
          <cell r="C478" t="str">
            <v>MONSTER &amp; SON</v>
          </cell>
          <cell r="D478" t="str">
            <v>R</v>
          </cell>
          <cell r="E478" t="str">
            <v>CL</v>
          </cell>
          <cell r="F478" t="str">
            <v>LaRochelle, David ; Chou, Joey</v>
          </cell>
          <cell r="G478" t="str">
            <v>CHIL</v>
          </cell>
          <cell r="H478">
            <v>4.99</v>
          </cell>
          <cell r="I478">
            <v>919</v>
          </cell>
        </row>
        <row r="479">
          <cell r="B479" t="str">
            <v>0201452129404</v>
          </cell>
          <cell r="C479" t="str">
            <v>BLUE</v>
          </cell>
          <cell r="D479" t="str">
            <v>R</v>
          </cell>
          <cell r="E479" t="str">
            <v>CL</v>
          </cell>
          <cell r="F479" t="str">
            <v>Boreal, Carole</v>
          </cell>
          <cell r="G479" t="str">
            <v>ARTS</v>
          </cell>
          <cell r="H479">
            <v>7.99</v>
          </cell>
          <cell r="I479">
            <v>0</v>
          </cell>
        </row>
        <row r="480">
          <cell r="B480" t="str">
            <v>0201452129428</v>
          </cell>
          <cell r="C480" t="str">
            <v>HISTORY OF GLITTER AND BLOOD</v>
          </cell>
          <cell r="D480" t="str">
            <v>R</v>
          </cell>
          <cell r="E480" t="str">
            <v>CL</v>
          </cell>
          <cell r="F480" t="str">
            <v>Moskowitz, Hannah</v>
          </cell>
          <cell r="G480" t="str">
            <v>YAF</v>
          </cell>
          <cell r="H480">
            <v>6.63</v>
          </cell>
          <cell r="I480">
            <v>0</v>
          </cell>
        </row>
        <row r="481">
          <cell r="B481" t="str">
            <v>0201452130813</v>
          </cell>
          <cell r="C481" t="str">
            <v>FANTASTICAL FAIRIES FAIRY RING</v>
          </cell>
          <cell r="D481" t="str">
            <v>R</v>
          </cell>
          <cell r="E481" t="str">
            <v>PZ</v>
          </cell>
          <cell r="F481" t="str">
            <v>Chronicle Books</v>
          </cell>
          <cell r="G481" t="str">
            <v>CHIL</v>
          </cell>
          <cell r="H481">
            <v>5.63</v>
          </cell>
          <cell r="I481">
            <v>0</v>
          </cell>
        </row>
        <row r="482">
          <cell r="B482" t="str">
            <v>0201452130837</v>
          </cell>
          <cell r="C482" t="str">
            <v>FANTASTICAL FAIRIES MATCHING G</v>
          </cell>
          <cell r="D482" t="str">
            <v>R</v>
          </cell>
          <cell r="E482" t="str">
            <v>BG</v>
          </cell>
          <cell r="F482" t="str">
            <v>Medeiros, Giovana</v>
          </cell>
          <cell r="G482" t="str">
            <v>CHIL</v>
          </cell>
          <cell r="H482">
            <v>3.99</v>
          </cell>
          <cell r="I482">
            <v>411</v>
          </cell>
        </row>
        <row r="483">
          <cell r="B483" t="str">
            <v>0201452131506</v>
          </cell>
          <cell r="C483" t="str">
            <v>TORTILLA SUN</v>
          </cell>
          <cell r="D483" t="str">
            <v>R</v>
          </cell>
          <cell r="E483" t="str">
            <v>PB</v>
          </cell>
          <cell r="F483" t="str">
            <v>Cervantes, Jennifer</v>
          </cell>
          <cell r="G483" t="str">
            <v>CHIL</v>
          </cell>
          <cell r="H483">
            <v>2.25</v>
          </cell>
          <cell r="I483">
            <v>0</v>
          </cell>
        </row>
        <row r="484">
          <cell r="B484" t="str">
            <v>0201452131520</v>
          </cell>
          <cell r="C484" t="str">
            <v>JUMPING JACK</v>
          </cell>
          <cell r="D484" t="str">
            <v>R</v>
          </cell>
          <cell r="E484" t="str">
            <v>CL</v>
          </cell>
          <cell r="F484" t="str">
            <v>Zullo, Germano ; Albertine</v>
          </cell>
          <cell r="G484" t="str">
            <v>CHIL</v>
          </cell>
          <cell r="H484">
            <v>6</v>
          </cell>
          <cell r="I484">
            <v>0</v>
          </cell>
        </row>
        <row r="485">
          <cell r="B485" t="str">
            <v>0201452131551</v>
          </cell>
          <cell r="C485" t="str">
            <v>ARE WE THERE YET?</v>
          </cell>
          <cell r="D485" t="str">
            <v>R</v>
          </cell>
          <cell r="E485" t="str">
            <v>CL</v>
          </cell>
          <cell r="F485" t="str">
            <v>Laden, Nina ; McCauley, Adam</v>
          </cell>
          <cell r="G485" t="str">
            <v>CHIL</v>
          </cell>
          <cell r="H485">
            <v>4.99</v>
          </cell>
          <cell r="I485">
            <v>0</v>
          </cell>
        </row>
        <row r="486">
          <cell r="B486" t="str">
            <v>0201452131568</v>
          </cell>
          <cell r="C486" t="str">
            <v>LEO</v>
          </cell>
          <cell r="D486" t="str">
            <v>R</v>
          </cell>
          <cell r="E486" t="str">
            <v>CL</v>
          </cell>
          <cell r="F486" t="str">
            <v>Barnett, Mac ; Robinson, Christian</v>
          </cell>
          <cell r="G486" t="str">
            <v>CHIL</v>
          </cell>
          <cell r="H486">
            <v>6</v>
          </cell>
          <cell r="I486">
            <v>0</v>
          </cell>
        </row>
        <row r="487">
          <cell r="B487" t="str">
            <v>0201452131599</v>
          </cell>
          <cell r="C487" t="str">
            <v>GREENS + GRAINS</v>
          </cell>
          <cell r="D487" t="str">
            <v>R</v>
          </cell>
          <cell r="E487" t="str">
            <v>PB</v>
          </cell>
          <cell r="F487" t="str">
            <v>Watson, Molly ; De Leo, Joseph</v>
          </cell>
          <cell r="G487" t="str">
            <v>COOK</v>
          </cell>
          <cell r="H487">
            <v>5.99</v>
          </cell>
          <cell r="I487">
            <v>276</v>
          </cell>
        </row>
        <row r="488">
          <cell r="B488" t="str">
            <v>0201452131827</v>
          </cell>
          <cell r="C488" t="str">
            <v>FOWL PLAY</v>
          </cell>
          <cell r="D488" t="str">
            <v>R</v>
          </cell>
          <cell r="E488" t="str">
            <v>CL</v>
          </cell>
          <cell r="F488" t="str">
            <v>Nichols, Travis</v>
          </cell>
          <cell r="G488" t="str">
            <v>CHIL</v>
          </cell>
          <cell r="H488">
            <v>5.25</v>
          </cell>
          <cell r="I488">
            <v>0</v>
          </cell>
        </row>
        <row r="489">
          <cell r="B489" t="str">
            <v>0201452131841</v>
          </cell>
          <cell r="C489" t="str">
            <v>EAT LIKE A MAN GDE TO FEEDING </v>
          </cell>
          <cell r="D489" t="str">
            <v>R</v>
          </cell>
          <cell r="E489" t="str">
            <v>CL</v>
          </cell>
          <cell r="F489" t="str">
            <v>D'Agostino, Ryan ; Voltaggio, Bryan ; Granger, David</v>
          </cell>
          <cell r="G489" t="str">
            <v>COOK</v>
          </cell>
          <cell r="H489">
            <v>10.25</v>
          </cell>
          <cell r="I489">
            <v>150</v>
          </cell>
        </row>
        <row r="490">
          <cell r="B490" t="str">
            <v>0201452132626</v>
          </cell>
          <cell r="C490" t="str">
            <v>MY LIFE</v>
          </cell>
          <cell r="D490" t="str">
            <v>R</v>
          </cell>
          <cell r="E490" t="str">
            <v>JN</v>
          </cell>
          <cell r="F490" t="str">
            <v>Mr.Boddington's Studio</v>
          </cell>
          <cell r="G490" t="str">
            <v>GIFT</v>
          </cell>
          <cell r="H490">
            <v>5.38</v>
          </cell>
          <cell r="I490">
            <v>0</v>
          </cell>
        </row>
        <row r="491">
          <cell r="B491" t="str">
            <v>0201452132695</v>
          </cell>
          <cell r="C491" t="str">
            <v>VOGUE FACTOR</v>
          </cell>
          <cell r="D491" t="str">
            <v>R</v>
          </cell>
          <cell r="E491" t="str">
            <v>PB</v>
          </cell>
          <cell r="F491" t="str">
            <v>Clements, Kirstie</v>
          </cell>
          <cell r="G491" t="str">
            <v>BIOG</v>
          </cell>
          <cell r="H491">
            <v>4.99</v>
          </cell>
          <cell r="I491">
            <v>100</v>
          </cell>
        </row>
        <row r="492">
          <cell r="B492" t="str">
            <v>0201452132916</v>
          </cell>
          <cell r="C492" t="str">
            <v>I KNEAD MY MOMMY</v>
          </cell>
          <cell r="D492" t="str">
            <v>r</v>
          </cell>
          <cell r="E492" t="str">
            <v>CL</v>
          </cell>
          <cell r="F492" t="str">
            <v>Marciuliano, Francesco</v>
          </cell>
          <cell r="G492" t="str">
            <v>PET</v>
          </cell>
          <cell r="H492">
            <v>4.49</v>
          </cell>
          <cell r="I492">
            <v>0</v>
          </cell>
        </row>
        <row r="493">
          <cell r="B493" t="str">
            <v>0201452132961</v>
          </cell>
          <cell r="C493" t="str">
            <v>SOUTHERN APPETIZERS</v>
          </cell>
          <cell r="D493" t="str">
            <v>R</v>
          </cell>
          <cell r="E493" t="str">
            <v>CL</v>
          </cell>
          <cell r="F493" t="str">
            <v>Gee, Denise ; Peacock, Robert M.</v>
          </cell>
          <cell r="G493" t="str">
            <v>COOK</v>
          </cell>
          <cell r="H493">
            <v>6.99</v>
          </cell>
          <cell r="I493">
            <v>0</v>
          </cell>
        </row>
        <row r="494">
          <cell r="B494" t="str">
            <v>0201452133005</v>
          </cell>
          <cell r="C494" t="str">
            <v>BAKING WITH LESS SUGAR</v>
          </cell>
          <cell r="D494" t="str">
            <v>R</v>
          </cell>
          <cell r="E494" t="str">
            <v>CL</v>
          </cell>
          <cell r="F494" t="str">
            <v>Chang, Joanne ; De Leo, Joseph</v>
          </cell>
          <cell r="G494" t="str">
            <v>COOK</v>
          </cell>
          <cell r="H494">
            <v>6.99</v>
          </cell>
          <cell r="I494">
            <v>0</v>
          </cell>
        </row>
        <row r="495">
          <cell r="B495" t="str">
            <v>0201452133203</v>
          </cell>
          <cell r="C495" t="str">
            <v>MAKE A STATEMENT</v>
          </cell>
          <cell r="D495" t="str">
            <v>R</v>
          </cell>
          <cell r="E495" t="str">
            <v>PB</v>
          </cell>
          <cell r="F495" t="str">
            <v>Covington, Katie ; Crowther, Janet</v>
          </cell>
          <cell r="G495" t="str">
            <v>CRAF</v>
          </cell>
          <cell r="H495">
            <v>8.24</v>
          </cell>
          <cell r="I495">
            <v>0</v>
          </cell>
        </row>
        <row r="496">
          <cell r="B496" t="str">
            <v>0201452133531</v>
          </cell>
          <cell r="C496" t="str">
            <v>MERINGUE GIRLS</v>
          </cell>
          <cell r="D496" t="str">
            <v>R</v>
          </cell>
          <cell r="E496" t="str">
            <v>CL</v>
          </cell>
          <cell r="F496" t="str">
            <v>Hoffler, Alex ; O'Gorman, Stacey ; Loftus, David</v>
          </cell>
          <cell r="G496" t="str">
            <v>COOK</v>
          </cell>
          <cell r="H496">
            <v>6.99</v>
          </cell>
          <cell r="I496">
            <v>0</v>
          </cell>
        </row>
        <row r="497">
          <cell r="B497" t="str">
            <v>0201452133548</v>
          </cell>
          <cell r="C497" t="str">
            <v>WASTE-FREE KITCHEN HANDBOOK</v>
          </cell>
          <cell r="D497" t="str">
            <v>R</v>
          </cell>
          <cell r="E497" t="str">
            <v>PB</v>
          </cell>
          <cell r="F497" t="str">
            <v>Gunders, Dana</v>
          </cell>
          <cell r="G497" t="str">
            <v>COOK</v>
          </cell>
          <cell r="H497">
            <v>4.99</v>
          </cell>
          <cell r="I497">
            <v>45</v>
          </cell>
        </row>
        <row r="498">
          <cell r="B498" t="str">
            <v>0201452133555</v>
          </cell>
          <cell r="C498" t="str">
            <v>ARTISTS AND THEIR CATS</v>
          </cell>
          <cell r="D498" t="str">
            <v>R</v>
          </cell>
          <cell r="E498" t="str">
            <v>CL</v>
          </cell>
          <cell r="F498" t="str">
            <v>Nastasi, Alison</v>
          </cell>
          <cell r="G498" t="str">
            <v>PET</v>
          </cell>
          <cell r="H498">
            <v>5.99</v>
          </cell>
          <cell r="I498">
            <v>0</v>
          </cell>
        </row>
        <row r="499">
          <cell r="B499" t="str">
            <v>0201452133562</v>
          </cell>
          <cell r="C499" t="str">
            <v>TRAFFIC JAM MATCHING GAME</v>
          </cell>
          <cell r="D499" t="str">
            <v>R</v>
          </cell>
          <cell r="E499" t="str">
            <v>BG</v>
          </cell>
          <cell r="F499" t="str">
            <v>van Lieshout, Maria</v>
          </cell>
          <cell r="G499" t="str">
            <v>CHIL</v>
          </cell>
          <cell r="H499">
            <v>5</v>
          </cell>
          <cell r="I499">
            <v>0</v>
          </cell>
        </row>
        <row r="500">
          <cell r="B500" t="str">
            <v>0201452133586</v>
          </cell>
          <cell r="C500" t="str">
            <v>SECRETS IN THE SNOW</v>
          </cell>
          <cell r="D500" t="str">
            <v>R</v>
          </cell>
          <cell r="E500" t="str">
            <v>CL</v>
          </cell>
          <cell r="F500" t="str">
            <v>MacColl, Michaela</v>
          </cell>
          <cell r="G500" t="str">
            <v>YAF</v>
          </cell>
          <cell r="H500">
            <v>4.99</v>
          </cell>
          <cell r="I500">
            <v>140</v>
          </cell>
        </row>
        <row r="501">
          <cell r="B501" t="str">
            <v>0201452133593</v>
          </cell>
          <cell r="C501" t="str">
            <v>PEEK-A WHO? MATCHING GAME</v>
          </cell>
          <cell r="D501" t="str">
            <v>R</v>
          </cell>
          <cell r="E501" t="str">
            <v>BG</v>
          </cell>
          <cell r="F501" t="str">
            <v>Laden, Nina</v>
          </cell>
          <cell r="G501" t="str">
            <v>CHIL</v>
          </cell>
          <cell r="H501">
            <v>5</v>
          </cell>
          <cell r="I501">
            <v>0</v>
          </cell>
        </row>
        <row r="502">
          <cell r="B502" t="str">
            <v>0201452133890</v>
          </cell>
          <cell r="C502" t="str">
            <v>SPACE FLASH CARDS</v>
          </cell>
          <cell r="D502" t="str">
            <v>R</v>
          </cell>
          <cell r="E502" t="str">
            <v>DC</v>
          </cell>
          <cell r="G502" t="str">
            <v>CHIL</v>
          </cell>
          <cell r="H502">
            <v>3.99</v>
          </cell>
          <cell r="I502">
            <v>0</v>
          </cell>
        </row>
        <row r="503">
          <cell r="B503" t="str">
            <v>0201452133937</v>
          </cell>
          <cell r="C503" t="str">
            <v>STAR WARS EPIC YARNS: A NEW HO</v>
          </cell>
          <cell r="D503" t="str">
            <v>R</v>
          </cell>
          <cell r="E503" t="str">
            <v>CL</v>
          </cell>
          <cell r="F503" t="str">
            <v>Wang, Jack ; Wang, Holman</v>
          </cell>
          <cell r="G503" t="str">
            <v>CHIL</v>
          </cell>
          <cell r="H503">
            <v>3.38</v>
          </cell>
          <cell r="I503">
            <v>0</v>
          </cell>
        </row>
        <row r="504">
          <cell r="B504" t="str">
            <v>0201452134040</v>
          </cell>
          <cell r="C504" t="str">
            <v>MARIMEKKO: IN PATTERNS</v>
          </cell>
          <cell r="D504" t="str">
            <v>R</v>
          </cell>
          <cell r="E504" t="str">
            <v>PB</v>
          </cell>
          <cell r="F504" t="str">
            <v>Marimekko</v>
          </cell>
          <cell r="G504" t="str">
            <v>DESI</v>
          </cell>
          <cell r="H504">
            <v>12.5</v>
          </cell>
          <cell r="I504">
            <v>0</v>
          </cell>
        </row>
        <row r="505">
          <cell r="B505" t="str">
            <v>0201452134231</v>
          </cell>
          <cell r="C505" t="str">
            <v>GRUMPY GDE TO LIFE</v>
          </cell>
          <cell r="D505" t="str">
            <v>R</v>
          </cell>
          <cell r="E505" t="str">
            <v>CL</v>
          </cell>
          <cell r="F505" t="str">
            <v>Grumpy Cat</v>
          </cell>
          <cell r="G505" t="str">
            <v>HUM</v>
          </cell>
          <cell r="H505">
            <v>3.99</v>
          </cell>
          <cell r="I505">
            <v>451</v>
          </cell>
        </row>
        <row r="506">
          <cell r="B506" t="str">
            <v>0201452134316</v>
          </cell>
          <cell r="C506" t="str">
            <v>YOU ARE MY BABY: WOODLAND</v>
          </cell>
          <cell r="D506" t="str">
            <v>R</v>
          </cell>
          <cell r="E506" t="str">
            <v>BD</v>
          </cell>
          <cell r="F506" t="str">
            <v>Siminovich, Lorena</v>
          </cell>
          <cell r="G506" t="str">
            <v>CHIL</v>
          </cell>
          <cell r="H506">
            <v>3.25</v>
          </cell>
          <cell r="I506">
            <v>0</v>
          </cell>
        </row>
        <row r="507">
          <cell r="B507" t="str">
            <v>0201452134354</v>
          </cell>
          <cell r="C507" t="str">
            <v>EARTH AND SPACE</v>
          </cell>
          <cell r="D507" t="str">
            <v>R</v>
          </cell>
          <cell r="E507" t="str">
            <v>CL</v>
          </cell>
          <cell r="F507" t="str">
            <v>Nataraj, Nirmala ; Nye, Bill</v>
          </cell>
          <cell r="G507" t="str">
            <v>SCI</v>
          </cell>
          <cell r="H507">
            <v>9.99</v>
          </cell>
          <cell r="I507">
            <v>34</v>
          </cell>
        </row>
        <row r="508">
          <cell r="B508" t="str">
            <v>0201452134439</v>
          </cell>
          <cell r="C508" t="str">
            <v>WEEK IN THE LIFE OF ME</v>
          </cell>
          <cell r="D508" t="str">
            <v>R</v>
          </cell>
          <cell r="E508" t="str">
            <v>JN</v>
          </cell>
          <cell r="F508" t="str">
            <v>Rosenthal, Amy Krouse</v>
          </cell>
          <cell r="G508" t="str">
            <v>SELF</v>
          </cell>
          <cell r="H508">
            <v>4.99</v>
          </cell>
          <cell r="I508">
            <v>0</v>
          </cell>
        </row>
        <row r="509">
          <cell r="B509" t="str">
            <v>0201452134453</v>
          </cell>
          <cell r="C509" t="str">
            <v>CIDER MADE SIMPLE</v>
          </cell>
          <cell r="D509" t="str">
            <v>R</v>
          </cell>
          <cell r="E509" t="str">
            <v>CL</v>
          </cell>
          <cell r="F509" t="str">
            <v>Alworth, Jeff ; Nichols, Lydia</v>
          </cell>
          <cell r="G509" t="str">
            <v>COOK</v>
          </cell>
          <cell r="H509">
            <v>6.99</v>
          </cell>
          <cell r="I509">
            <v>0</v>
          </cell>
        </row>
        <row r="510">
          <cell r="B510" t="str">
            <v>0201452134477</v>
          </cell>
          <cell r="C510" t="str">
            <v>AMY BUTLER'S PIECE KEEPING</v>
          </cell>
          <cell r="D510" t="str">
            <v>R</v>
          </cell>
          <cell r="E510" t="str">
            <v>CL</v>
          </cell>
          <cell r="F510" t="str">
            <v>Butler, Amy ; Butler, David</v>
          </cell>
          <cell r="G510" t="str">
            <v>CRAF</v>
          </cell>
          <cell r="H510">
            <v>7.99</v>
          </cell>
          <cell r="I510">
            <v>220</v>
          </cell>
        </row>
        <row r="511">
          <cell r="B511" t="str">
            <v>0201452134620</v>
          </cell>
          <cell r="C511" t="str">
            <v>WEDDINGS IN COLOR</v>
          </cell>
          <cell r="D511" t="str">
            <v>R</v>
          </cell>
          <cell r="E511" t="str">
            <v>CL</v>
          </cell>
          <cell r="F511" t="str">
            <v>Cho, Minhee ; Broussard, Vane ; Kershner, Jaine M.</v>
          </cell>
          <cell r="G511" t="str">
            <v>REF</v>
          </cell>
          <cell r="H511">
            <v>11.5</v>
          </cell>
          <cell r="I511">
            <v>0</v>
          </cell>
        </row>
        <row r="512">
          <cell r="B512" t="str">
            <v>0201452134798</v>
          </cell>
          <cell r="C512" t="str">
            <v>SWEET AND TART</v>
          </cell>
          <cell r="D512" t="str">
            <v>R</v>
          </cell>
          <cell r="E512" t="str">
            <v>CL</v>
          </cell>
          <cell r="F512" t="str">
            <v>Snyder, Carla ; Franzen, Nicole</v>
          </cell>
          <cell r="G512" t="str">
            <v>COOK</v>
          </cell>
          <cell r="H512">
            <v>5.99</v>
          </cell>
          <cell r="I512">
            <v>389</v>
          </cell>
        </row>
        <row r="513">
          <cell r="B513" t="str">
            <v>0201452134866</v>
          </cell>
          <cell r="C513" t="str">
            <v>WILD BABIES</v>
          </cell>
          <cell r="D513" t="str">
            <v>R</v>
          </cell>
          <cell r="E513" t="str">
            <v>CL</v>
          </cell>
          <cell r="F513" t="str">
            <v>Scott, Traer</v>
          </cell>
          <cell r="G513" t="str">
            <v>PHOT</v>
          </cell>
          <cell r="H513">
            <v>6.99</v>
          </cell>
          <cell r="I513">
            <v>0</v>
          </cell>
        </row>
        <row r="514">
          <cell r="B514" t="str">
            <v>0201452134989</v>
          </cell>
          <cell r="C514" t="str">
            <v>NOTES THAT STICK</v>
          </cell>
          <cell r="D514" t="str">
            <v>R</v>
          </cell>
          <cell r="E514" t="str">
            <v>ST</v>
          </cell>
          <cell r="F514" t="str">
            <v>Old Tom Foolery</v>
          </cell>
          <cell r="G514" t="str">
            <v>GIFT</v>
          </cell>
          <cell r="H514">
            <v>5.38</v>
          </cell>
          <cell r="I514">
            <v>0</v>
          </cell>
        </row>
        <row r="515">
          <cell r="B515" t="str">
            <v>0201452134996</v>
          </cell>
          <cell r="C515" t="str">
            <v>STAR WARS EPIC YARNS: THE EMPI</v>
          </cell>
          <cell r="D515" t="str">
            <v>R</v>
          </cell>
          <cell r="E515" t="str">
            <v>CL</v>
          </cell>
          <cell r="F515" t="str">
            <v>Wang, Jack ; Wang, Holman</v>
          </cell>
          <cell r="G515" t="str">
            <v>CHIL</v>
          </cell>
          <cell r="H515">
            <v>3.38</v>
          </cell>
          <cell r="I515">
            <v>0</v>
          </cell>
        </row>
        <row r="516">
          <cell r="B516" t="str">
            <v>0201452135009</v>
          </cell>
          <cell r="C516" t="str">
            <v>STAR WARS EPIC YARNS: RETURN O</v>
          </cell>
          <cell r="D516" t="str">
            <v>R</v>
          </cell>
          <cell r="E516" t="str">
            <v>CL</v>
          </cell>
          <cell r="F516" t="str">
            <v>Wang, Jack ; Wang, Holman</v>
          </cell>
          <cell r="G516" t="str">
            <v>CHIL</v>
          </cell>
          <cell r="H516">
            <v>3.38</v>
          </cell>
          <cell r="I516">
            <v>0</v>
          </cell>
        </row>
        <row r="517">
          <cell r="B517" t="str">
            <v>0201452135054</v>
          </cell>
          <cell r="C517" t="str">
            <v>FROM RAIN TO RAINBOWS</v>
          </cell>
          <cell r="D517" t="str">
            <v>R</v>
          </cell>
          <cell r="E517" t="str">
            <v>CL</v>
          </cell>
          <cell r="F517" t="str">
            <v>Chronicle Books</v>
          </cell>
          <cell r="G517" t="str">
            <v>ARTS</v>
          </cell>
          <cell r="H517">
            <v>4.49</v>
          </cell>
          <cell r="I517">
            <v>0</v>
          </cell>
        </row>
        <row r="518">
          <cell r="B518" t="str">
            <v>0201452135078</v>
          </cell>
          <cell r="C518" t="str">
            <v>MY LITTLE FRENCH KITCHEN</v>
          </cell>
          <cell r="D518" t="str">
            <v>R</v>
          </cell>
          <cell r="E518" t="str">
            <v>CL</v>
          </cell>
          <cell r="F518" t="str">
            <v>Khoo, Rachel ; Loftus, David</v>
          </cell>
          <cell r="G518" t="str">
            <v>COOK</v>
          </cell>
          <cell r="H518">
            <v>9.99</v>
          </cell>
          <cell r="I518">
            <v>399</v>
          </cell>
        </row>
        <row r="519">
          <cell r="B519" t="str">
            <v>0201452135085</v>
          </cell>
          <cell r="C519" t="str">
            <v>LOW-SO GOOD</v>
          </cell>
          <cell r="D519" t="str">
            <v>R</v>
          </cell>
          <cell r="E519" t="str">
            <v>CL</v>
          </cell>
          <cell r="F519" t="str">
            <v>Goldman Foung, Jessica ; Lee, John</v>
          </cell>
          <cell r="G519" t="str">
            <v>COOK</v>
          </cell>
          <cell r="H519">
            <v>7.99</v>
          </cell>
          <cell r="I519">
            <v>79</v>
          </cell>
        </row>
        <row r="520">
          <cell r="B520" t="str">
            <v>0201452135139</v>
          </cell>
          <cell r="C520" t="str">
            <v>TWITTER: THE COMIC (THE BOOK)</v>
          </cell>
          <cell r="D520" t="str">
            <v>R</v>
          </cell>
          <cell r="E520" t="str">
            <v>PB</v>
          </cell>
          <cell r="F520" t="str">
            <v>Rosenthal, Mike</v>
          </cell>
          <cell r="G520" t="str">
            <v>HUM</v>
          </cell>
          <cell r="H520">
            <v>4.49</v>
          </cell>
          <cell r="I520">
            <v>0</v>
          </cell>
        </row>
        <row r="521">
          <cell r="B521" t="str">
            <v>0201452135184</v>
          </cell>
          <cell r="C521" t="str">
            <v>ART OF INSIDE OUT</v>
          </cell>
          <cell r="D521" t="str">
            <v>R</v>
          </cell>
          <cell r="E521" t="str">
            <v>CL</v>
          </cell>
          <cell r="F521" t="str">
            <v>Poehler, Amy ; Docter, Pete</v>
          </cell>
          <cell r="G521" t="str">
            <v>PERF</v>
          </cell>
          <cell r="H521">
            <v>9.99</v>
          </cell>
          <cell r="I521">
            <v>342</v>
          </cell>
        </row>
        <row r="522">
          <cell r="B522" t="str">
            <v>0201452135191</v>
          </cell>
          <cell r="C522" t="str">
            <v>WAY MORE THAN LUCK</v>
          </cell>
          <cell r="D522" t="str">
            <v>R</v>
          </cell>
          <cell r="E522" t="str">
            <v>CL</v>
          </cell>
          <cell r="F522" t="str">
            <v>Crowther, Janet ; Covington, Katie</v>
          </cell>
          <cell r="G522" t="str">
            <v>SELF</v>
          </cell>
          <cell r="H522">
            <v>6.74</v>
          </cell>
          <cell r="I522">
            <v>0</v>
          </cell>
        </row>
        <row r="523">
          <cell r="B523" t="str">
            <v>0201452135245</v>
          </cell>
          <cell r="C523" t="str">
            <v>BEER BITES</v>
          </cell>
          <cell r="D523" t="str">
            <v>R</v>
          </cell>
          <cell r="E523" t="str">
            <v>PB</v>
          </cell>
          <cell r="F523" t="str">
            <v>DeBenedetti, Christian ; Slonecker, Andrea ; Lee, John</v>
          </cell>
          <cell r="G523" t="str">
            <v>COOK</v>
          </cell>
          <cell r="H523">
            <v>6.99</v>
          </cell>
          <cell r="I523">
            <v>0</v>
          </cell>
        </row>
        <row r="524">
          <cell r="B524" t="str">
            <v>0201452135337</v>
          </cell>
          <cell r="C524" t="str">
            <v>GUITTARD CHOCOLATE COOKBOOK</v>
          </cell>
          <cell r="D524" t="str">
            <v>R</v>
          </cell>
          <cell r="E524" t="str">
            <v>PB</v>
          </cell>
          <cell r="F524" t="str">
            <v>Guittard, Amy ; Medrich, Alice ; Achilleos, Antonis</v>
          </cell>
          <cell r="G524" t="str">
            <v>COOK</v>
          </cell>
          <cell r="H524">
            <v>8.5</v>
          </cell>
          <cell r="I524">
            <v>0</v>
          </cell>
        </row>
        <row r="525">
          <cell r="B525" t="str">
            <v>0201452135429</v>
          </cell>
          <cell r="C525" t="str">
            <v>NINJA BABY</v>
          </cell>
          <cell r="D525" t="str">
            <v>R</v>
          </cell>
          <cell r="E525" t="str">
            <v>CL</v>
          </cell>
          <cell r="F525" t="str">
            <v>Zeltser, David ; Goode, Diane</v>
          </cell>
          <cell r="G525" t="str">
            <v>CHIL</v>
          </cell>
          <cell r="H525">
            <v>4.99</v>
          </cell>
          <cell r="I525">
            <v>140</v>
          </cell>
        </row>
        <row r="526">
          <cell r="B526" t="str">
            <v>0201452135467</v>
          </cell>
          <cell r="C526" t="str">
            <v>OUR FAMILY TRADITIONS</v>
          </cell>
          <cell r="D526" t="str">
            <v>R</v>
          </cell>
          <cell r="E526" t="str">
            <v>JN</v>
          </cell>
          <cell r="G526" t="str">
            <v>GIFT</v>
          </cell>
          <cell r="H526">
            <v>6.99</v>
          </cell>
          <cell r="I526">
            <v>0</v>
          </cell>
        </row>
        <row r="527">
          <cell r="B527" t="str">
            <v>0201452136013</v>
          </cell>
          <cell r="C527" t="str">
            <v>I LOVE YOU AROUND THE WORLD</v>
          </cell>
          <cell r="D527" t="str">
            <v>R</v>
          </cell>
          <cell r="E527" t="str">
            <v>CL</v>
          </cell>
          <cell r="F527" t="str">
            <v>Swerling, Lisa ; Lazar, Ralph</v>
          </cell>
          <cell r="G527" t="str">
            <v>FAMI</v>
          </cell>
          <cell r="H527">
            <v>1.99</v>
          </cell>
          <cell r="I527">
            <v>528</v>
          </cell>
        </row>
        <row r="528">
          <cell r="B528" t="str">
            <v>0201452136426</v>
          </cell>
          <cell r="C528" t="str">
            <v>E-MERGENCY</v>
          </cell>
          <cell r="D528" t="str">
            <v>R</v>
          </cell>
          <cell r="E528" t="str">
            <v>PB</v>
          </cell>
          <cell r="F528" t="str">
            <v>Lichtenheld, Tom ; Fields-Meyer, Ezra</v>
          </cell>
          <cell r="G528" t="str">
            <v>CHIL</v>
          </cell>
          <cell r="H528">
            <v>2.75</v>
          </cell>
          <cell r="I528">
            <v>0</v>
          </cell>
        </row>
        <row r="529">
          <cell r="B529" t="str">
            <v>0201452136433</v>
          </cell>
          <cell r="C529" t="str">
            <v>MOM AND DAD ARE PALINDROMES</v>
          </cell>
          <cell r="D529" t="str">
            <v>R</v>
          </cell>
          <cell r="E529" t="str">
            <v>PB</v>
          </cell>
          <cell r="F529" t="str">
            <v>Shulman, Mark ; McCauley, Adam</v>
          </cell>
          <cell r="G529" t="str">
            <v>CHIL</v>
          </cell>
          <cell r="H529">
            <v>2.75</v>
          </cell>
          <cell r="I529">
            <v>0</v>
          </cell>
        </row>
        <row r="530">
          <cell r="B530" t="str">
            <v>0201452136495</v>
          </cell>
          <cell r="C530" t="str">
            <v>CHRISTMAS CAROL</v>
          </cell>
          <cell r="D530" t="str">
            <v>R</v>
          </cell>
          <cell r="E530" t="str">
            <v>CL</v>
          </cell>
          <cell r="F530" t="str">
            <v>Dickens, Charles ; Bryksenkova, Yelena</v>
          </cell>
          <cell r="G530" t="str">
            <v>FICT</v>
          </cell>
          <cell r="H530">
            <v>9.99</v>
          </cell>
          <cell r="I530">
            <v>0</v>
          </cell>
        </row>
        <row r="531">
          <cell r="B531" t="str">
            <v>0201452136532</v>
          </cell>
          <cell r="C531" t="str">
            <v>I WAS AN AWESOMER KID</v>
          </cell>
          <cell r="D531" t="str">
            <v>R</v>
          </cell>
          <cell r="E531" t="str">
            <v>PB</v>
          </cell>
          <cell r="F531" t="str">
            <v>Getty, Brad</v>
          </cell>
          <cell r="G531" t="str">
            <v>HUM</v>
          </cell>
          <cell r="H531">
            <v>4.49</v>
          </cell>
          <cell r="I531">
            <v>0</v>
          </cell>
        </row>
        <row r="532">
          <cell r="B532" t="str">
            <v>0201452136570</v>
          </cell>
          <cell r="C532" t="str">
            <v>FRIENDSHIP IS . . .</v>
          </cell>
          <cell r="D532" t="str">
            <v>R</v>
          </cell>
          <cell r="E532" t="str">
            <v>PB</v>
          </cell>
          <cell r="F532" t="str">
            <v>Swerling, Lisa ; Lazar, Ralph</v>
          </cell>
          <cell r="G532" t="str">
            <v>SELF</v>
          </cell>
          <cell r="H532">
            <v>4.49</v>
          </cell>
          <cell r="I532">
            <v>0</v>
          </cell>
        </row>
        <row r="533">
          <cell r="B533" t="str">
            <v>0201452137171</v>
          </cell>
          <cell r="C533" t="str">
            <v>HOME STYLE BY CITY</v>
          </cell>
          <cell r="D533" t="str">
            <v>R</v>
          </cell>
          <cell r="E533" t="str">
            <v>PB</v>
          </cell>
          <cell r="F533" t="str">
            <v>Magntorn, Ida</v>
          </cell>
          <cell r="G533" t="str">
            <v>DOIT</v>
          </cell>
          <cell r="H533">
            <v>8.74</v>
          </cell>
          <cell r="I533">
            <v>0</v>
          </cell>
        </row>
        <row r="534">
          <cell r="B534" t="str">
            <v>0201452137263</v>
          </cell>
          <cell r="C534" t="str">
            <v>LONDONTOWN</v>
          </cell>
          <cell r="D534" t="str">
            <v>R</v>
          </cell>
          <cell r="E534" t="str">
            <v>CL</v>
          </cell>
          <cell r="F534" t="str">
            <v>Conway, Susannah ; Storey, Helen</v>
          </cell>
          <cell r="G534" t="str">
            <v>TRAV</v>
          </cell>
          <cell r="H534">
            <v>3.99</v>
          </cell>
          <cell r="I534">
            <v>120</v>
          </cell>
        </row>
        <row r="535">
          <cell r="B535" t="str">
            <v>0201452137270</v>
          </cell>
          <cell r="C535" t="str">
            <v>INSPIRATION</v>
          </cell>
          <cell r="D535" t="str">
            <v>R</v>
          </cell>
          <cell r="E535" t="str">
            <v>JN</v>
          </cell>
          <cell r="G535" t="str">
            <v>SELF</v>
          </cell>
          <cell r="H535">
            <v>5.63</v>
          </cell>
          <cell r="I535">
            <v>0</v>
          </cell>
        </row>
        <row r="536">
          <cell r="B536" t="str">
            <v>0201452137317</v>
          </cell>
          <cell r="C536" t="str">
            <v>EXTRAORDINARY OBJECTS NOTEBOOK</v>
          </cell>
          <cell r="D536" t="str">
            <v>R</v>
          </cell>
          <cell r="E536" t="str">
            <v>JN</v>
          </cell>
          <cell r="F536" t="str">
            <v>Bowers, Jenny</v>
          </cell>
          <cell r="G536" t="str">
            <v>GIFT</v>
          </cell>
          <cell r="H536">
            <v>4.99</v>
          </cell>
          <cell r="I536">
            <v>0</v>
          </cell>
        </row>
        <row r="537">
          <cell r="B537" t="str">
            <v>0201452137331</v>
          </cell>
          <cell r="C537" t="str">
            <v>DUCK! RABBIT!</v>
          </cell>
          <cell r="D537" t="str">
            <v>R</v>
          </cell>
          <cell r="E537" t="str">
            <v>BD</v>
          </cell>
          <cell r="F537" t="str">
            <v>Rosenthal, Amy Krouse ; Lichtenheld, Tom</v>
          </cell>
          <cell r="G537" t="str">
            <v>CHIL</v>
          </cell>
          <cell r="H537">
            <v>2.75</v>
          </cell>
          <cell r="I537">
            <v>0</v>
          </cell>
        </row>
        <row r="538">
          <cell r="B538" t="str">
            <v>0201452137348</v>
          </cell>
          <cell r="C538" t="str">
            <v>FAREWELL FLOPPY</v>
          </cell>
          <cell r="D538" t="str">
            <v>R</v>
          </cell>
          <cell r="E538" t="str">
            <v>CL</v>
          </cell>
          <cell r="F538" t="str">
            <v>Chaud, Benjamin</v>
          </cell>
          <cell r="G538" t="str">
            <v>CHIL</v>
          </cell>
          <cell r="H538">
            <v>4.99</v>
          </cell>
          <cell r="I538">
            <v>294</v>
          </cell>
        </row>
        <row r="539">
          <cell r="B539" t="str">
            <v>0201452137393</v>
          </cell>
          <cell r="C539" t="str">
            <v>MARIMEKKO NOTEBOOK COLLECTION</v>
          </cell>
          <cell r="D539" t="str">
            <v>R</v>
          </cell>
          <cell r="E539" t="str">
            <v>JN</v>
          </cell>
          <cell r="F539" t="str">
            <v>Marimekko</v>
          </cell>
          <cell r="G539" t="str">
            <v>GIFT</v>
          </cell>
          <cell r="H539">
            <v>5.5</v>
          </cell>
          <cell r="I539">
            <v>0</v>
          </cell>
        </row>
        <row r="540">
          <cell r="B540" t="str">
            <v>0201452137409</v>
          </cell>
          <cell r="C540" t="str">
            <v>COLORFUL HOME</v>
          </cell>
          <cell r="D540" t="str">
            <v>R</v>
          </cell>
          <cell r="E540" t="str">
            <v>CL</v>
          </cell>
          <cell r="F540" t="str">
            <v>Hable, Susan ; Allen, Rinne</v>
          </cell>
          <cell r="G540" t="str">
            <v>DOIT</v>
          </cell>
          <cell r="H540">
            <v>10.5</v>
          </cell>
          <cell r="I540">
            <v>0</v>
          </cell>
        </row>
        <row r="541">
          <cell r="B541" t="str">
            <v>0201452137447</v>
          </cell>
          <cell r="C541" t="str">
            <v>THEY DREW AS THEY PLEASED</v>
          </cell>
          <cell r="D541" t="str">
            <v>R</v>
          </cell>
          <cell r="E541" t="str">
            <v>CL</v>
          </cell>
          <cell r="F541" t="str">
            <v>Ghez, Didier ; Musker, John</v>
          </cell>
          <cell r="G541" t="str">
            <v>ARTS</v>
          </cell>
          <cell r="H541">
            <v>14</v>
          </cell>
          <cell r="I541">
            <v>0</v>
          </cell>
        </row>
        <row r="542">
          <cell r="B542" t="str">
            <v>0201452138062</v>
          </cell>
          <cell r="C542" t="str">
            <v>PADDLE AGAINST THE FLOW</v>
          </cell>
          <cell r="D542" t="str">
            <v>R</v>
          </cell>
          <cell r="E542" t="str">
            <v>CL</v>
          </cell>
          <cell r="F542" t="str">
            <v>Coupland, Douglas</v>
          </cell>
          <cell r="G542" t="str">
            <v>REF</v>
          </cell>
          <cell r="H542">
            <v>5.24</v>
          </cell>
          <cell r="I542">
            <v>0</v>
          </cell>
        </row>
        <row r="543">
          <cell r="B543" t="str">
            <v>0201452138154</v>
          </cell>
          <cell r="C543" t="str">
            <v>FISH FINELLI (BOOK 3)</v>
          </cell>
          <cell r="D543" t="str">
            <v>R</v>
          </cell>
          <cell r="E543" t="str">
            <v>CL</v>
          </cell>
          <cell r="F543" t="str">
            <v>Farber, E.S. ; Warrick, Jessica</v>
          </cell>
          <cell r="G543" t="str">
            <v>CHIL</v>
          </cell>
          <cell r="H543">
            <v>3.99</v>
          </cell>
          <cell r="I543">
            <v>374</v>
          </cell>
        </row>
        <row r="544">
          <cell r="B544" t="str">
            <v>0201452138208</v>
          </cell>
          <cell r="C544" t="str">
            <v>SEE SAN FRANCISCO</v>
          </cell>
          <cell r="D544" t="str">
            <v>R</v>
          </cell>
          <cell r="E544" t="str">
            <v>CL</v>
          </cell>
          <cell r="F544" t="str">
            <v>Smith, Victoria</v>
          </cell>
          <cell r="G544" t="str">
            <v>TRAV</v>
          </cell>
          <cell r="H544">
            <v>5.99</v>
          </cell>
          <cell r="I544">
            <v>0</v>
          </cell>
        </row>
        <row r="545">
          <cell r="B545" t="str">
            <v>0201452138390</v>
          </cell>
          <cell r="C545" t="str">
            <v>GENA/FINN</v>
          </cell>
          <cell r="D545" t="str">
            <v>R</v>
          </cell>
          <cell r="E545" t="str">
            <v>CL</v>
          </cell>
          <cell r="F545" t="str">
            <v>Moskowitz, Hannah ; Helgeson, Kat</v>
          </cell>
          <cell r="G545" t="str">
            <v>YAF</v>
          </cell>
          <cell r="H545">
            <v>4.99</v>
          </cell>
          <cell r="I545">
            <v>224</v>
          </cell>
        </row>
        <row r="546">
          <cell r="B546" t="str">
            <v>0201452138444</v>
          </cell>
          <cell r="C546" t="str">
            <v>ARE YOU DISSING ME?</v>
          </cell>
          <cell r="D546" t="str">
            <v>R</v>
          </cell>
          <cell r="E546" t="str">
            <v>CL</v>
          </cell>
          <cell r="F546" t="str">
            <v>Winheld, Simon</v>
          </cell>
          <cell r="G546" t="str">
            <v>HUM</v>
          </cell>
          <cell r="H546">
            <v>4.49</v>
          </cell>
          <cell r="I546">
            <v>0</v>
          </cell>
        </row>
        <row r="547">
          <cell r="B547" t="str">
            <v>0201452138475</v>
          </cell>
          <cell r="C547" t="str">
            <v>7 MINUTES TO FIT</v>
          </cell>
          <cell r="D547" t="str">
            <v>R</v>
          </cell>
          <cell r="E547" t="str">
            <v>PB</v>
          </cell>
          <cell r="F547" t="str">
            <v>Klika, Brett</v>
          </cell>
          <cell r="G547" t="str">
            <v>HEAL</v>
          </cell>
          <cell r="H547">
            <v>3.99</v>
          </cell>
          <cell r="I547">
            <v>99</v>
          </cell>
        </row>
        <row r="548">
          <cell r="B548" t="str">
            <v>0201452138482</v>
          </cell>
          <cell r="C548" t="str">
            <v>MINI FASHION SKETCHPADS</v>
          </cell>
          <cell r="D548" t="str">
            <v>R</v>
          </cell>
          <cell r="E548" t="str">
            <v>JN</v>
          </cell>
          <cell r="F548" t="str">
            <v>Daniel, Tamar</v>
          </cell>
          <cell r="G548" t="str">
            <v>DESI</v>
          </cell>
          <cell r="H548">
            <v>3.74</v>
          </cell>
          <cell r="I548">
            <v>0</v>
          </cell>
        </row>
        <row r="549">
          <cell r="B549" t="str">
            <v>0201452138505</v>
          </cell>
          <cell r="C549" t="str">
            <v>RECESS</v>
          </cell>
          <cell r="D549" t="str">
            <v>R</v>
          </cell>
          <cell r="E549" t="str">
            <v>PB</v>
          </cell>
          <cell r="F549" t="str">
            <v>Applebaum, Ben ; DiSorbo, Dan</v>
          </cell>
          <cell r="G549" t="str">
            <v>REF</v>
          </cell>
          <cell r="H549">
            <v>5.99</v>
          </cell>
          <cell r="I549">
            <v>0</v>
          </cell>
        </row>
        <row r="550">
          <cell r="B550" t="str">
            <v>0201452138697</v>
          </cell>
          <cell r="C550" t="str">
            <v>ART + FASHION</v>
          </cell>
          <cell r="D550" t="str">
            <v>R</v>
          </cell>
          <cell r="E550" t="str">
            <v>CL</v>
          </cell>
          <cell r="F550" t="str">
            <v>Cutler, E.P. ; Tomasello, Julien</v>
          </cell>
          <cell r="G550" t="str">
            <v>ARTS</v>
          </cell>
          <cell r="H550">
            <v>30</v>
          </cell>
          <cell r="I550">
            <v>0</v>
          </cell>
        </row>
        <row r="551">
          <cell r="B551" t="str">
            <v>0201452138703</v>
          </cell>
          <cell r="C551" t="str">
            <v>ANYWHERE ART GDE</v>
          </cell>
          <cell r="D551" t="str">
            <v>R</v>
          </cell>
          <cell r="E551" t="str">
            <v>DC</v>
          </cell>
          <cell r="F551" t="str">
            <v>Falck, Magda Lipka</v>
          </cell>
          <cell r="G551" t="str">
            <v>ARTS</v>
          </cell>
          <cell r="H551">
            <v>4.99</v>
          </cell>
          <cell r="I551">
            <v>0</v>
          </cell>
        </row>
        <row r="552">
          <cell r="B552" t="str">
            <v>0201452138925</v>
          </cell>
          <cell r="C552" t="str">
            <v>HOW TO BE A CAT</v>
          </cell>
          <cell r="D552" t="str">
            <v>R</v>
          </cell>
          <cell r="E552" t="str">
            <v>CL</v>
          </cell>
          <cell r="F552" t="str">
            <v>Swerling, Lisa ; Lazar, Ralph</v>
          </cell>
          <cell r="G552" t="str">
            <v>HUM</v>
          </cell>
          <cell r="H552">
            <v>2.99</v>
          </cell>
          <cell r="I552">
            <v>299</v>
          </cell>
        </row>
        <row r="553">
          <cell r="B553" t="str">
            <v>0201452139151</v>
          </cell>
          <cell r="C553" t="str">
            <v>40ISH WEEKS</v>
          </cell>
          <cell r="D553" t="str">
            <v>R</v>
          </cell>
          <cell r="E553" t="str">
            <v>JN</v>
          </cell>
          <cell r="F553" t="str">
            <v>Pocrass, Kate</v>
          </cell>
          <cell r="G553" t="str">
            <v>FAMI</v>
          </cell>
          <cell r="H553">
            <v>4.99</v>
          </cell>
          <cell r="I553">
            <v>0</v>
          </cell>
        </row>
        <row r="554">
          <cell r="B554" t="str">
            <v>0201452139298</v>
          </cell>
          <cell r="C554" t="str">
            <v>START NOW!</v>
          </cell>
          <cell r="D554" t="str">
            <v>R</v>
          </cell>
          <cell r="E554" t="str">
            <v>JN</v>
          </cell>
          <cell r="F554" t="str">
            <v>Neckel, Kate</v>
          </cell>
          <cell r="G554" t="str">
            <v>ARTS</v>
          </cell>
          <cell r="H554">
            <v>6.24</v>
          </cell>
          <cell r="I554">
            <v>0</v>
          </cell>
        </row>
        <row r="555">
          <cell r="B555" t="str">
            <v>0201452139847</v>
          </cell>
          <cell r="C555" t="str">
            <v>FOR LOVE</v>
          </cell>
          <cell r="D555" t="str">
            <v>R</v>
          </cell>
          <cell r="E555" t="str">
            <v>CL</v>
          </cell>
          <cell r="F555" t="str">
            <v>Yoo, Alice ; Kim, Eugene</v>
          </cell>
          <cell r="G555" t="str">
            <v>FAMI</v>
          </cell>
          <cell r="H555">
            <v>5.99</v>
          </cell>
          <cell r="I555">
            <v>540</v>
          </cell>
        </row>
        <row r="556">
          <cell r="B556" t="str">
            <v>0201452139854</v>
          </cell>
          <cell r="C556" t="str">
            <v>CITY SCRATCH-OFF MAP: PARIS</v>
          </cell>
          <cell r="D556" t="str">
            <v>R</v>
          </cell>
          <cell r="E556" t="str">
            <v>MF</v>
          </cell>
          <cell r="F556" t="str">
            <v>Henry de Tessan, Christina</v>
          </cell>
          <cell r="G556" t="str">
            <v>GIFT</v>
          </cell>
          <cell r="H556">
            <v>3.99</v>
          </cell>
          <cell r="I556">
            <v>35</v>
          </cell>
        </row>
        <row r="557">
          <cell r="B557" t="str">
            <v>0201452139861</v>
          </cell>
          <cell r="C557" t="str">
            <v>CITY SCRATCH-OFF MAP: NEW YORK</v>
          </cell>
          <cell r="D557" t="str">
            <v>R</v>
          </cell>
          <cell r="E557" t="str">
            <v>MF</v>
          </cell>
          <cell r="F557" t="str">
            <v>Henry de Tessan, Christina</v>
          </cell>
          <cell r="G557" t="str">
            <v>GIFT</v>
          </cell>
          <cell r="H557">
            <v>3.99</v>
          </cell>
          <cell r="I557">
            <v>95</v>
          </cell>
        </row>
        <row r="558">
          <cell r="B558" t="str">
            <v>0201452139892</v>
          </cell>
          <cell r="C558" t="str">
            <v>FEATHERS</v>
          </cell>
          <cell r="D558" t="str">
            <v>R</v>
          </cell>
          <cell r="E558" t="str">
            <v>CL</v>
          </cell>
          <cell r="F558" t="str">
            <v>Clark, Robert ; Zimmer, Carl ; Clark, Robert</v>
          </cell>
          <cell r="G558" t="str">
            <v>PHOT</v>
          </cell>
          <cell r="H558">
            <v>7.99</v>
          </cell>
          <cell r="I558">
            <v>56</v>
          </cell>
        </row>
        <row r="559">
          <cell r="B559" t="str">
            <v>0201452139939</v>
          </cell>
          <cell r="C559" t="str">
            <v>ADVICE FROM MY 80-YEAR-OLD SEL</v>
          </cell>
          <cell r="D559" t="str">
            <v>R</v>
          </cell>
          <cell r="E559" t="str">
            <v>CL</v>
          </cell>
          <cell r="F559" t="str">
            <v>OMalley, Susan</v>
          </cell>
          <cell r="G559" t="str">
            <v>SELF</v>
          </cell>
          <cell r="H559">
            <v>4.99</v>
          </cell>
          <cell r="I559">
            <v>120</v>
          </cell>
        </row>
        <row r="560">
          <cell r="B560" t="str">
            <v>0201452139946</v>
          </cell>
          <cell r="C560" t="str">
            <v>PEN TO PAPER NOTECARDS</v>
          </cell>
          <cell r="D560" t="str">
            <v>R</v>
          </cell>
          <cell r="E560" t="str">
            <v>NC</v>
          </cell>
          <cell r="F560" t="str">
            <v>Present &amp; Correct</v>
          </cell>
          <cell r="G560" t="str">
            <v>GIFT</v>
          </cell>
          <cell r="H560">
            <v>5.63</v>
          </cell>
          <cell r="I560">
            <v>0</v>
          </cell>
        </row>
        <row r="561">
          <cell r="B561" t="str">
            <v>0201452139984</v>
          </cell>
          <cell r="C561" t="str">
            <v>LEGENDS OF TEXAS BARBECUE COOK</v>
          </cell>
          <cell r="D561" t="str">
            <v>R</v>
          </cell>
          <cell r="E561" t="str">
            <v>PB</v>
          </cell>
          <cell r="F561" t="str">
            <v>Walsh, Robb ; Savell, Jeffrey W.</v>
          </cell>
          <cell r="G561" t="str">
            <v>COOK</v>
          </cell>
          <cell r="H561">
            <v>5.99</v>
          </cell>
          <cell r="I561">
            <v>102</v>
          </cell>
        </row>
        <row r="562">
          <cell r="B562" t="str">
            <v>0201452140027</v>
          </cell>
          <cell r="C562" t="str">
            <v>CONVERSATION SPARKS</v>
          </cell>
          <cell r="D562" t="str">
            <v>R</v>
          </cell>
          <cell r="E562" t="str">
            <v>PB</v>
          </cell>
          <cell r="F562" t="str">
            <v>Chapman, Ryan</v>
          </cell>
          <cell r="G562" t="str">
            <v>REF</v>
          </cell>
          <cell r="H562">
            <v>3.99</v>
          </cell>
          <cell r="I562">
            <v>254</v>
          </cell>
        </row>
        <row r="563">
          <cell r="B563" t="str">
            <v>0201452140058</v>
          </cell>
          <cell r="C563" t="str">
            <v>SOCK MONKEYS HAVE ISSUES</v>
          </cell>
          <cell r="D563" t="str">
            <v>R</v>
          </cell>
          <cell r="E563" t="str">
            <v>CL</v>
          </cell>
          <cell r="F563" t="str">
            <v>Stones, Greg</v>
          </cell>
          <cell r="G563" t="str">
            <v>HUM</v>
          </cell>
          <cell r="H563">
            <v>2.99</v>
          </cell>
          <cell r="I563">
            <v>40</v>
          </cell>
        </row>
        <row r="564">
          <cell r="B564" t="str">
            <v>0201452140065</v>
          </cell>
          <cell r="C564" t="str">
            <v>SAGE LIVING</v>
          </cell>
          <cell r="D564" t="str">
            <v>R</v>
          </cell>
          <cell r="E564" t="str">
            <v>CL</v>
          </cell>
          <cell r="F564" t="str">
            <v>Sage, Anne ; Johnston, Emily</v>
          </cell>
          <cell r="G564" t="str">
            <v>DESI</v>
          </cell>
          <cell r="H564">
            <v>7.99</v>
          </cell>
          <cell r="I564">
            <v>164</v>
          </cell>
        </row>
        <row r="565">
          <cell r="B565" t="str">
            <v>0201452140072</v>
          </cell>
          <cell r="C565" t="str">
            <v>MEANINGFUL BOUQUETS</v>
          </cell>
          <cell r="D565" t="str">
            <v>R</v>
          </cell>
          <cell r="E565" t="str">
            <v>CL</v>
          </cell>
          <cell r="F565" t="str">
            <v>McGuinness, Lisa ; Okies, Leigh ; Breakey, Annabelle</v>
          </cell>
          <cell r="G565" t="str">
            <v>CRAF</v>
          </cell>
          <cell r="H565">
            <v>6.99</v>
          </cell>
          <cell r="I565">
            <v>0</v>
          </cell>
        </row>
        <row r="566">
          <cell r="B566" t="str">
            <v>0201452140096</v>
          </cell>
          <cell r="C566" t="str">
            <v>ONCE WAS A TIME</v>
          </cell>
          <cell r="D566" t="str">
            <v>R</v>
          </cell>
          <cell r="E566" t="str">
            <v>CL</v>
          </cell>
          <cell r="F566" t="str">
            <v>Sales, Leila</v>
          </cell>
          <cell r="G566" t="str">
            <v>CHIL</v>
          </cell>
          <cell r="H566">
            <v>4.99</v>
          </cell>
          <cell r="I566">
            <v>462</v>
          </cell>
        </row>
        <row r="567">
          <cell r="B567" t="str">
            <v>0201452140119</v>
          </cell>
          <cell r="C567" t="str">
            <v>YOU ARE MY BABY: MEADOW</v>
          </cell>
          <cell r="D567" t="str">
            <v>R</v>
          </cell>
          <cell r="E567" t="str">
            <v>BD</v>
          </cell>
          <cell r="F567" t="str">
            <v>Siminovich, Lorena</v>
          </cell>
          <cell r="G567" t="str">
            <v>CHIL</v>
          </cell>
          <cell r="H567">
            <v>2.99</v>
          </cell>
          <cell r="I567">
            <v>0</v>
          </cell>
        </row>
        <row r="568">
          <cell r="B568" t="str">
            <v>0201452140133</v>
          </cell>
          <cell r="C568" t="str">
            <v>ALL SHOOK UP!</v>
          </cell>
          <cell r="D568" t="str">
            <v>R</v>
          </cell>
          <cell r="E568" t="str">
            <v>BD</v>
          </cell>
          <cell r="F568" t="str">
            <v>Crozon, Alain</v>
          </cell>
          <cell r="G568" t="str">
            <v>CHIL</v>
          </cell>
          <cell r="H568">
            <v>2.99</v>
          </cell>
          <cell r="I568">
            <v>0</v>
          </cell>
        </row>
        <row r="569">
          <cell r="B569" t="str">
            <v>0201452140140</v>
          </cell>
          <cell r="C569" t="str">
            <v>WHO'S THERE?</v>
          </cell>
          <cell r="D569" t="str">
            <v>R</v>
          </cell>
          <cell r="E569" t="str">
            <v>BD</v>
          </cell>
          <cell r="F569" t="str">
            <v>Crozon, Alain</v>
          </cell>
          <cell r="G569" t="str">
            <v>CHIL</v>
          </cell>
          <cell r="H569">
            <v>3.88</v>
          </cell>
          <cell r="I569">
            <v>0</v>
          </cell>
        </row>
        <row r="570">
          <cell r="B570" t="str">
            <v>0201452140164</v>
          </cell>
          <cell r="C570" t="str">
            <v>TWO OF A KIND</v>
          </cell>
          <cell r="D570" t="str">
            <v>R</v>
          </cell>
          <cell r="E570" t="str">
            <v>CL</v>
          </cell>
          <cell r="F570" t="str">
            <v>Kerfante, Sandrine</v>
          </cell>
          <cell r="G570" t="str">
            <v>PHOT</v>
          </cell>
          <cell r="H570">
            <v>5.99</v>
          </cell>
          <cell r="I570">
            <v>0</v>
          </cell>
        </row>
        <row r="571">
          <cell r="B571" t="str">
            <v>0201452140188</v>
          </cell>
          <cell r="C571" t="str">
            <v>DEAR SANTA</v>
          </cell>
          <cell r="D571" t="str">
            <v>R</v>
          </cell>
          <cell r="E571" t="str">
            <v>CL</v>
          </cell>
          <cell r="F571" t="str">
            <v>Mantle, Ben ; Ferry, Beth</v>
          </cell>
          <cell r="G571" t="str">
            <v>RELI</v>
          </cell>
          <cell r="H571">
            <v>4.99</v>
          </cell>
          <cell r="I571">
            <v>600</v>
          </cell>
        </row>
        <row r="572">
          <cell r="B572" t="str">
            <v>0201452140225</v>
          </cell>
          <cell r="C572" t="str">
            <v>WILMA'S WORLD</v>
          </cell>
          <cell r="D572" t="str">
            <v>R</v>
          </cell>
          <cell r="E572" t="str">
            <v>CL</v>
          </cell>
          <cell r="F572" t="str">
            <v>Dunn, Rae</v>
          </cell>
          <cell r="G572" t="str">
            <v>PET</v>
          </cell>
          <cell r="H572">
            <v>5.49</v>
          </cell>
          <cell r="I572">
            <v>0</v>
          </cell>
        </row>
        <row r="573">
          <cell r="B573" t="str">
            <v>0201452140232</v>
          </cell>
          <cell r="C573" t="str">
            <v>CAT HIGH</v>
          </cell>
          <cell r="D573" t="str">
            <v>R</v>
          </cell>
          <cell r="E573" t="str">
            <v>PB</v>
          </cell>
          <cell r="F573" t="str">
            <v>Gruber, Terry deRoy</v>
          </cell>
          <cell r="G573" t="str">
            <v>PET</v>
          </cell>
          <cell r="H573">
            <v>5.63</v>
          </cell>
          <cell r="I573">
            <v>0</v>
          </cell>
        </row>
        <row r="574">
          <cell r="B574" t="str">
            <v>0201452140287</v>
          </cell>
          <cell r="C574" t="str">
            <v>BEAR'S SURPRISE</v>
          </cell>
          <cell r="D574" t="str">
            <v>R</v>
          </cell>
          <cell r="E574" t="str">
            <v>CL</v>
          </cell>
          <cell r="F574" t="str">
            <v>Chaud, Benjamin</v>
          </cell>
          <cell r="G574" t="str">
            <v>CHIL</v>
          </cell>
          <cell r="H574">
            <v>4.99</v>
          </cell>
          <cell r="I574">
            <v>154</v>
          </cell>
        </row>
        <row r="575">
          <cell r="B575" t="str">
            <v>0201452140492</v>
          </cell>
          <cell r="C575" t="str">
            <v>CATS &amp; LIONS</v>
          </cell>
          <cell r="D575" t="str">
            <v>R</v>
          </cell>
          <cell r="E575" t="str">
            <v>CL</v>
          </cell>
          <cell r="F575" t="str">
            <v>Iwago, Mitsuaki</v>
          </cell>
          <cell r="G575" t="str">
            <v>PHOT</v>
          </cell>
          <cell r="H575">
            <v>8.99</v>
          </cell>
          <cell r="I575">
            <v>0</v>
          </cell>
        </row>
        <row r="576">
          <cell r="B576" t="str">
            <v>0201452140515</v>
          </cell>
          <cell r="C576" t="str">
            <v>PROVENCE AND THE COTE D'AZUR</v>
          </cell>
          <cell r="D576" t="str">
            <v>R</v>
          </cell>
          <cell r="E576" t="str">
            <v>PB</v>
          </cell>
          <cell r="F576" t="str">
            <v>McCulloch, Janelle</v>
          </cell>
          <cell r="G576" t="str">
            <v>PHOT</v>
          </cell>
          <cell r="H576">
            <v>9.99</v>
          </cell>
          <cell r="I576">
            <v>0</v>
          </cell>
        </row>
        <row r="577">
          <cell r="B577" t="str">
            <v>0201452140560</v>
          </cell>
          <cell r="C577" t="str">
            <v>RACHEL KHOO'S KITCHEN NOTEBOOK</v>
          </cell>
          <cell r="D577" t="str">
            <v>R</v>
          </cell>
          <cell r="E577" t="str">
            <v>CL</v>
          </cell>
          <cell r="F577" t="str">
            <v>Khoo, Rachel ; Loftus, David</v>
          </cell>
          <cell r="G577" t="str">
            <v>COOK</v>
          </cell>
          <cell r="H577">
            <v>7.99</v>
          </cell>
          <cell r="I577">
            <v>200</v>
          </cell>
        </row>
        <row r="578">
          <cell r="B578" t="str">
            <v>0201452141161</v>
          </cell>
          <cell r="C578" t="str">
            <v>CAKE &amp; ICE CREAM</v>
          </cell>
          <cell r="D578" t="str">
            <v>R</v>
          </cell>
          <cell r="E578" t="str">
            <v>CL</v>
          </cell>
          <cell r="G578" t="str">
            <v>COOK</v>
          </cell>
          <cell r="H578">
            <v>3.99</v>
          </cell>
          <cell r="I578">
            <v>204</v>
          </cell>
        </row>
        <row r="579">
          <cell r="B579" t="str">
            <v>0201452141178</v>
          </cell>
          <cell r="C579" t="str">
            <v>GRILL EATS &amp; DRINKS</v>
          </cell>
          <cell r="D579" t="str">
            <v>R</v>
          </cell>
          <cell r="E579" t="str">
            <v>CL</v>
          </cell>
          <cell r="F579" t="str">
            <v>Chronicle Books</v>
          </cell>
          <cell r="G579" t="str">
            <v>COOK</v>
          </cell>
          <cell r="H579">
            <v>5.24</v>
          </cell>
          <cell r="I579">
            <v>0</v>
          </cell>
        </row>
        <row r="580">
          <cell r="B580" t="str">
            <v>0201452141222</v>
          </cell>
          <cell r="C580" t="str">
            <v>WUMBERS</v>
          </cell>
          <cell r="D580" t="str">
            <v>R</v>
          </cell>
          <cell r="E580" t="str">
            <v>PB</v>
          </cell>
          <cell r="F580" t="str">
            <v>Rosenthal, Amy Krouse ; Lichtenheld, Tom</v>
          </cell>
          <cell r="G580" t="str">
            <v>CHIL</v>
          </cell>
          <cell r="H580">
            <v>2.63</v>
          </cell>
          <cell r="I580">
            <v>0</v>
          </cell>
        </row>
        <row r="581">
          <cell r="B581" t="str">
            <v>0201452141253</v>
          </cell>
          <cell r="C581" t="str">
            <v>STRANGE PLACE TO CALL HOME</v>
          </cell>
          <cell r="D581" t="str">
            <v>R</v>
          </cell>
          <cell r="E581" t="str">
            <v>PB</v>
          </cell>
          <cell r="F581" t="str">
            <v>Singer, Marilyn ; Young, Ed</v>
          </cell>
          <cell r="G581" t="str">
            <v>CHIL</v>
          </cell>
          <cell r="H581">
            <v>1.99</v>
          </cell>
          <cell r="I581">
            <v>110</v>
          </cell>
        </row>
        <row r="582">
          <cell r="B582" t="str">
            <v>0201452141307</v>
          </cell>
          <cell r="C582" t="str">
            <v>ALWAYS EMILY</v>
          </cell>
          <cell r="D582" t="str">
            <v>R</v>
          </cell>
          <cell r="E582" t="str">
            <v>PB</v>
          </cell>
          <cell r="F582" t="str">
            <v>MacColl, Michaela</v>
          </cell>
          <cell r="G582" t="str">
            <v>YAF</v>
          </cell>
          <cell r="H582">
            <v>3.5</v>
          </cell>
          <cell r="I582">
            <v>0</v>
          </cell>
        </row>
        <row r="583">
          <cell r="B583" t="str">
            <v>0201452141727</v>
          </cell>
          <cell r="C583" t="str">
            <v>LITTLE PLEASURES OF PARIS</v>
          </cell>
          <cell r="D583" t="str">
            <v>R</v>
          </cell>
          <cell r="E583" t="str">
            <v>CL</v>
          </cell>
          <cell r="F583" t="str">
            <v>Jonath, Leslie ; Stewart, Lizzy</v>
          </cell>
          <cell r="G583" t="str">
            <v>DESI</v>
          </cell>
          <cell r="H583">
            <v>5.99</v>
          </cell>
          <cell r="I583">
            <v>210</v>
          </cell>
        </row>
        <row r="584">
          <cell r="B584" t="str">
            <v>0201452141758</v>
          </cell>
          <cell r="C584" t="str">
            <v>I DIDN'T DO MY HOMEWORK BECAUS</v>
          </cell>
          <cell r="D584" t="str">
            <v>R</v>
          </cell>
          <cell r="E584" t="str">
            <v>PB</v>
          </cell>
          <cell r="F584" t="str">
            <v>Chaud, Benjamin ; Cali, Davide</v>
          </cell>
          <cell r="G584" t="str">
            <v>CHIL</v>
          </cell>
          <cell r="H584">
            <v>5.25</v>
          </cell>
          <cell r="I584">
            <v>0</v>
          </cell>
        </row>
        <row r="585">
          <cell r="B585" t="str">
            <v>0201452141772</v>
          </cell>
          <cell r="C585" t="str">
            <v>DON'T FART WHEN YOU SNUGGLE</v>
          </cell>
          <cell r="D585" t="str">
            <v>R</v>
          </cell>
          <cell r="E585" t="str">
            <v>CL</v>
          </cell>
          <cell r="F585" t="str">
            <v>Smith, Kate</v>
          </cell>
          <cell r="G585" t="str">
            <v>PET</v>
          </cell>
          <cell r="H585">
            <v>4.63</v>
          </cell>
          <cell r="I585">
            <v>0</v>
          </cell>
        </row>
        <row r="586">
          <cell r="B586" t="str">
            <v>0201452141802</v>
          </cell>
          <cell r="C586" t="str">
            <v>GRUMPY CAT POSTCARD BOOK</v>
          </cell>
          <cell r="D586" t="str">
            <v>R</v>
          </cell>
          <cell r="E586" t="str">
            <v>PC</v>
          </cell>
          <cell r="F586" t="str">
            <v>Grumpy Cat</v>
          </cell>
          <cell r="G586" t="str">
            <v>HUM</v>
          </cell>
          <cell r="H586">
            <v>3.74</v>
          </cell>
          <cell r="I586">
            <v>0</v>
          </cell>
        </row>
        <row r="587">
          <cell r="B587" t="str">
            <v>0201452141819</v>
          </cell>
          <cell r="C587" t="str">
            <v>GRUMPY CAT FLEXI JOURNAL WITH </v>
          </cell>
          <cell r="D587" t="str">
            <v>R</v>
          </cell>
          <cell r="E587" t="str">
            <v>JN</v>
          </cell>
          <cell r="F587" t="str">
            <v>Grumpy Cat</v>
          </cell>
          <cell r="G587" t="str">
            <v>HUM</v>
          </cell>
          <cell r="H587">
            <v>3.74</v>
          </cell>
          <cell r="I587">
            <v>0</v>
          </cell>
        </row>
        <row r="588">
          <cell r="B588" t="str">
            <v>0201452141864</v>
          </cell>
          <cell r="C588" t="str">
            <v>BE MINE</v>
          </cell>
          <cell r="D588" t="str">
            <v>R</v>
          </cell>
          <cell r="E588" t="str">
            <v>PB</v>
          </cell>
          <cell r="F588" t="str">
            <v>Shim, Sally J ; Wanger, Max</v>
          </cell>
          <cell r="G588" t="str">
            <v>CRAF</v>
          </cell>
          <cell r="H588">
            <v>3.99</v>
          </cell>
          <cell r="I588">
            <v>75</v>
          </cell>
        </row>
        <row r="589">
          <cell r="B589" t="str">
            <v>0201452141871</v>
          </cell>
          <cell r="C589" t="str">
            <v>BUSY BABY: TRUCKS</v>
          </cell>
          <cell r="D589" t="str">
            <v>R</v>
          </cell>
          <cell r="E589" t="str">
            <v>BD</v>
          </cell>
          <cell r="F589" t="str">
            <v>Gillingham, Sara</v>
          </cell>
          <cell r="G589" t="str">
            <v>CHIL</v>
          </cell>
          <cell r="H589">
            <v>3.25</v>
          </cell>
          <cell r="I589">
            <v>0</v>
          </cell>
        </row>
        <row r="590">
          <cell r="B590" t="str">
            <v>0201452141888</v>
          </cell>
          <cell r="C590" t="str">
            <v>BUSY BABY: FRIENDS</v>
          </cell>
          <cell r="D590" t="str">
            <v>R</v>
          </cell>
          <cell r="E590" t="str">
            <v>BD</v>
          </cell>
          <cell r="F590" t="str">
            <v>Gillingham, Sara</v>
          </cell>
          <cell r="G590" t="str">
            <v>CHIL</v>
          </cell>
          <cell r="H590">
            <v>3.25</v>
          </cell>
          <cell r="I590">
            <v>0</v>
          </cell>
        </row>
        <row r="591">
          <cell r="B591" t="str">
            <v>0201452141956</v>
          </cell>
          <cell r="C591" t="str">
            <v>CIRCADIAN TAROT</v>
          </cell>
          <cell r="D591" t="str">
            <v>R</v>
          </cell>
          <cell r="E591" t="str">
            <v>CL</v>
          </cell>
          <cell r="F591" t="str">
            <v>Blade, Michelle ; Altman, Jen</v>
          </cell>
          <cell r="G591" t="str">
            <v>ARTS</v>
          </cell>
          <cell r="H591">
            <v>4.99</v>
          </cell>
          <cell r="I591">
            <v>139</v>
          </cell>
        </row>
        <row r="592">
          <cell r="B592" t="str">
            <v>0201452142168</v>
          </cell>
          <cell r="C592" t="str">
            <v>ANIMATOR'S SKETCHBOOK</v>
          </cell>
          <cell r="D592" t="str">
            <v>R</v>
          </cell>
          <cell r="E592" t="str">
            <v>JN</v>
          </cell>
          <cell r="G592" t="str">
            <v>GIFT</v>
          </cell>
          <cell r="H592">
            <v>6.99</v>
          </cell>
          <cell r="I592">
            <v>0</v>
          </cell>
        </row>
        <row r="593">
          <cell r="B593" t="str">
            <v>0201452142328</v>
          </cell>
          <cell r="C593" t="str">
            <v>DIVA RULES</v>
          </cell>
          <cell r="D593" t="str">
            <v>R</v>
          </cell>
          <cell r="E593" t="str">
            <v>CL</v>
          </cell>
          <cell r="F593" t="str">
            <v>Visage, Michelle</v>
          </cell>
          <cell r="G593" t="str">
            <v>SELF</v>
          </cell>
          <cell r="H593">
            <v>8.99</v>
          </cell>
          <cell r="I593">
            <v>0</v>
          </cell>
        </row>
        <row r="594">
          <cell r="B594" t="str">
            <v>0201452142441</v>
          </cell>
          <cell r="C594" t="str">
            <v>HERE KITTY KITTY</v>
          </cell>
          <cell r="D594" t="str">
            <v>R</v>
          </cell>
          <cell r="E594" t="str">
            <v>CL</v>
          </cell>
          <cell r="F594" t="str">
            <v>McInnis, Mallory</v>
          </cell>
          <cell r="G594" t="str">
            <v>ARTS</v>
          </cell>
          <cell r="H594">
            <v>3.99</v>
          </cell>
          <cell r="I594">
            <v>211</v>
          </cell>
        </row>
        <row r="595">
          <cell r="B595" t="str">
            <v>0201452142595</v>
          </cell>
          <cell r="C595" t="str">
            <v>BUSINESS BABY</v>
          </cell>
          <cell r="D595" t="str">
            <v>R</v>
          </cell>
          <cell r="E595" t="str">
            <v>CL</v>
          </cell>
          <cell r="F595" t="str">
            <v>Beckerman, Alex</v>
          </cell>
          <cell r="G595" t="str">
            <v>HUM</v>
          </cell>
          <cell r="H595">
            <v>4.25</v>
          </cell>
          <cell r="I595">
            <v>0</v>
          </cell>
        </row>
        <row r="596">
          <cell r="B596" t="str">
            <v>0201452142649</v>
          </cell>
          <cell r="C596" t="str">
            <v>FOOD LISTOGRAPHY</v>
          </cell>
          <cell r="D596" t="str">
            <v>R</v>
          </cell>
          <cell r="E596" t="str">
            <v>JN</v>
          </cell>
          <cell r="F596" t="str">
            <v>Nola, Lisa</v>
          </cell>
          <cell r="G596" t="str">
            <v>GIFT</v>
          </cell>
          <cell r="H596">
            <v>4.99</v>
          </cell>
          <cell r="I596">
            <v>234</v>
          </cell>
        </row>
        <row r="597">
          <cell r="B597" t="str">
            <v>0201452142762</v>
          </cell>
          <cell r="C597" t="str">
            <v>AT LARGE</v>
          </cell>
          <cell r="D597" t="str">
            <v>R</v>
          </cell>
          <cell r="E597" t="str">
            <v>CL</v>
          </cell>
          <cell r="F597" t="str">
            <v>Spalding, David</v>
          </cell>
          <cell r="G597" t="str">
            <v>ARTS</v>
          </cell>
          <cell r="H597">
            <v>14.25</v>
          </cell>
          <cell r="I597">
            <v>0</v>
          </cell>
        </row>
        <row r="598">
          <cell r="B598" t="str">
            <v>0201452142823</v>
          </cell>
          <cell r="C598" t="str">
            <v>LAND OF LINES</v>
          </cell>
          <cell r="D598" t="str">
            <v>R</v>
          </cell>
          <cell r="E598" t="str">
            <v>CL</v>
          </cell>
          <cell r="F598" t="str">
            <v>Hussenot, Victor</v>
          </cell>
          <cell r="G598" t="str">
            <v>CHIL</v>
          </cell>
          <cell r="H598">
            <v>3.99</v>
          </cell>
          <cell r="I598">
            <v>172</v>
          </cell>
        </row>
        <row r="599">
          <cell r="B599" t="str">
            <v>0201452142847</v>
          </cell>
          <cell r="C599" t="str">
            <v>THIS IS THE STORY OF YOU</v>
          </cell>
          <cell r="D599" t="str">
            <v>R</v>
          </cell>
          <cell r="E599" t="str">
            <v>CL</v>
          </cell>
          <cell r="F599" t="str">
            <v>Kephart, Beth</v>
          </cell>
          <cell r="G599" t="str">
            <v>YAF</v>
          </cell>
          <cell r="H599">
            <v>4.99</v>
          </cell>
          <cell r="I599">
            <v>197</v>
          </cell>
        </row>
        <row r="600">
          <cell r="B600" t="str">
            <v>0201452142878</v>
          </cell>
          <cell r="C600" t="str">
            <v>RICE CRAFT</v>
          </cell>
          <cell r="D600" t="str">
            <v>R</v>
          </cell>
          <cell r="E600" t="str">
            <v>CL</v>
          </cell>
          <cell r="F600" t="str">
            <v>Sakai, Sonoko ; Armendariz, Matt</v>
          </cell>
          <cell r="G600" t="str">
            <v>COOK</v>
          </cell>
          <cell r="H600">
            <v>3.99</v>
          </cell>
          <cell r="I600">
            <v>92</v>
          </cell>
        </row>
        <row r="601">
          <cell r="B601" t="str">
            <v>0201452142915</v>
          </cell>
          <cell r="C601" t="str">
            <v>FLIGHT 1-2-3</v>
          </cell>
          <cell r="D601" t="str">
            <v>R</v>
          </cell>
          <cell r="E601" t="str">
            <v>BD</v>
          </cell>
          <cell r="F601" t="str">
            <v>van Lieshout, Maria</v>
          </cell>
          <cell r="G601" t="str">
            <v>CHIL</v>
          </cell>
          <cell r="H601">
            <v>2.63</v>
          </cell>
          <cell r="I601">
            <v>0</v>
          </cell>
        </row>
        <row r="602">
          <cell r="B602" t="str">
            <v>0201452143028</v>
          </cell>
          <cell r="C602" t="str">
            <v>WELL-READ WOMEN</v>
          </cell>
          <cell r="D602" t="str">
            <v>R</v>
          </cell>
          <cell r="E602" t="str">
            <v>JN</v>
          </cell>
          <cell r="F602" t="str">
            <v>Hahn, Samantha</v>
          </cell>
          <cell r="G602" t="str">
            <v>GIFT</v>
          </cell>
          <cell r="H602">
            <v>5.63</v>
          </cell>
          <cell r="I602">
            <v>0</v>
          </cell>
        </row>
        <row r="603">
          <cell r="B603" t="str">
            <v>0201452143059</v>
          </cell>
          <cell r="C603" t="str">
            <v>DROLL PRANKS FOR RICH BOYS</v>
          </cell>
          <cell r="D603" t="str">
            <v>R</v>
          </cell>
          <cell r="E603" t="str">
            <v>CL</v>
          </cell>
          <cell r="F603" t="str">
            <v>Bulla, Dan ; Rilly, Ethan</v>
          </cell>
          <cell r="G603" t="str">
            <v>HUM</v>
          </cell>
          <cell r="H603">
            <v>3.24</v>
          </cell>
          <cell r="I603">
            <v>0</v>
          </cell>
        </row>
        <row r="604">
          <cell r="B604" t="str">
            <v>0201452143080</v>
          </cell>
          <cell r="C604" t="str">
            <v>VINTAGE HAIRSTYLES</v>
          </cell>
          <cell r="D604" t="str">
            <v>R</v>
          </cell>
          <cell r="E604" t="str">
            <v>CL</v>
          </cell>
          <cell r="F604" t="str">
            <v>Sundh, Emma ; Wing, Sarah ; Ankarfyr, Martina</v>
          </cell>
          <cell r="G604" t="str">
            <v>HEAL</v>
          </cell>
          <cell r="H604">
            <v>5.99</v>
          </cell>
          <cell r="I604">
            <v>0</v>
          </cell>
        </row>
        <row r="605">
          <cell r="B605" t="str">
            <v>0201452143127</v>
          </cell>
          <cell r="C605" t="str">
            <v>EYE STYLE</v>
          </cell>
          <cell r="D605" t="str">
            <v>R</v>
          </cell>
          <cell r="E605" t="str">
            <v>KT</v>
          </cell>
          <cell r="F605" t="str">
            <v>Izazi, Nadia</v>
          </cell>
          <cell r="G605" t="str">
            <v>CHIL</v>
          </cell>
          <cell r="H605">
            <v>4.99</v>
          </cell>
          <cell r="I605">
            <v>75</v>
          </cell>
        </row>
        <row r="606">
          <cell r="B606" t="str">
            <v>0201452143172</v>
          </cell>
          <cell r="C606" t="str">
            <v>CHESS QUEEN ENIGMA</v>
          </cell>
          <cell r="D606" t="str">
            <v>R</v>
          </cell>
          <cell r="E606" t="str">
            <v>CL</v>
          </cell>
          <cell r="F606" t="str">
            <v>Gleason, Colleen</v>
          </cell>
          <cell r="G606" t="str">
            <v>CHIL</v>
          </cell>
          <cell r="H606">
            <v>6</v>
          </cell>
          <cell r="I606">
            <v>0</v>
          </cell>
        </row>
        <row r="607">
          <cell r="B607" t="str">
            <v>0201452143196</v>
          </cell>
          <cell r="C607" t="str">
            <v>WORLD OF ERIC CARLE(TM) THE VE</v>
          </cell>
          <cell r="D607" t="str">
            <v>R</v>
          </cell>
          <cell r="E607" t="str">
            <v>KT</v>
          </cell>
          <cell r="F607" t="str">
            <v>Carle, Eric</v>
          </cell>
          <cell r="G607" t="str">
            <v>CHIL</v>
          </cell>
          <cell r="H607">
            <v>7.49</v>
          </cell>
          <cell r="I607">
            <v>0</v>
          </cell>
        </row>
        <row r="608">
          <cell r="B608" t="str">
            <v>0201452144100</v>
          </cell>
          <cell r="C608" t="str">
            <v>FORTUNE FAVORS THE BRAVE</v>
          </cell>
          <cell r="D608" t="str">
            <v>R</v>
          </cell>
          <cell r="E608" t="str">
            <v>CL</v>
          </cell>
          <cell r="F608" t="str">
            <v>Congdon, Lisa</v>
          </cell>
          <cell r="G608" t="str">
            <v>ARTS</v>
          </cell>
          <cell r="H608">
            <v>3.99</v>
          </cell>
          <cell r="I608">
            <v>160</v>
          </cell>
        </row>
        <row r="609">
          <cell r="B609" t="str">
            <v>0201452144131</v>
          </cell>
          <cell r="C609" t="str">
            <v>JOY OF SWIMMING</v>
          </cell>
          <cell r="D609" t="str">
            <v>R</v>
          </cell>
          <cell r="E609" t="str">
            <v>pb</v>
          </cell>
          <cell r="F609" t="str">
            <v>Congdon, Lisa ; Cox, Lynne</v>
          </cell>
          <cell r="G609" t="str">
            <v>SELF</v>
          </cell>
          <cell r="H609">
            <v>6.74</v>
          </cell>
          <cell r="I609">
            <v>0</v>
          </cell>
        </row>
        <row r="610">
          <cell r="B610" t="str">
            <v>0201452144452</v>
          </cell>
          <cell r="C610" t="str">
            <v>CATS OF 1986: THE BOOK</v>
          </cell>
          <cell r="D610" t="str">
            <v>R</v>
          </cell>
          <cell r="E610" t="str">
            <v>CL</v>
          </cell>
          <cell r="G610" t="str">
            <v>HUM</v>
          </cell>
          <cell r="H610">
            <v>4.63</v>
          </cell>
          <cell r="I610">
            <v>150</v>
          </cell>
        </row>
        <row r="611">
          <cell r="B611" t="str">
            <v>0201452144476</v>
          </cell>
          <cell r="C611" t="str">
            <v>BIG BEAR LITTLE CHAIR</v>
          </cell>
          <cell r="D611" t="str">
            <v>R</v>
          </cell>
          <cell r="E611" t="str">
            <v>CL</v>
          </cell>
          <cell r="F611" t="str">
            <v>Boyd, Lizi</v>
          </cell>
          <cell r="G611" t="str">
            <v>CHIL</v>
          </cell>
          <cell r="H611">
            <v>4.99</v>
          </cell>
          <cell r="I611">
            <v>150</v>
          </cell>
        </row>
        <row r="612">
          <cell r="B612" t="str">
            <v>0201452144599</v>
          </cell>
          <cell r="C612" t="str">
            <v>GRILLED CHEESE KITCHEN</v>
          </cell>
          <cell r="D612" t="str">
            <v>R</v>
          </cell>
          <cell r="E612" t="str">
            <v>CL</v>
          </cell>
          <cell r="F612" t="str">
            <v>Gibson, Heidi ; Pollak, Nate ; Achilleos, Antonis</v>
          </cell>
          <cell r="G612" t="str">
            <v>COOK</v>
          </cell>
          <cell r="H612">
            <v>6.99</v>
          </cell>
          <cell r="I612">
            <v>0</v>
          </cell>
        </row>
        <row r="613">
          <cell r="B613" t="str">
            <v>0201452144735</v>
          </cell>
          <cell r="C613" t="str">
            <v>101 SMILES MAKE A SUNSHINE</v>
          </cell>
          <cell r="D613" t="str">
            <v>R</v>
          </cell>
          <cell r="E613" t="str">
            <v>JN</v>
          </cell>
          <cell r="F613" t="str">
            <v>Rogge, Hannah</v>
          </cell>
          <cell r="G613" t="str">
            <v>GIFT</v>
          </cell>
          <cell r="H613">
            <v>3.74</v>
          </cell>
          <cell r="I613">
            <v>0</v>
          </cell>
        </row>
        <row r="614">
          <cell r="B614" t="str">
            <v>0201452144742</v>
          </cell>
          <cell r="C614" t="str">
            <v>NINJAS HAVE ISSUES</v>
          </cell>
          <cell r="D614" t="str">
            <v>R</v>
          </cell>
          <cell r="E614" t="str">
            <v>CL</v>
          </cell>
          <cell r="F614" t="str">
            <v>Stones, Greg</v>
          </cell>
          <cell r="G614" t="str">
            <v>HUM</v>
          </cell>
          <cell r="H614">
            <v>3.49</v>
          </cell>
          <cell r="I614">
            <v>0</v>
          </cell>
        </row>
        <row r="615">
          <cell r="B615" t="str">
            <v>0201452144759</v>
          </cell>
          <cell r="C615" t="str">
            <v>GARDEN GNOMES HAVE ISSUES</v>
          </cell>
          <cell r="D615" t="str">
            <v>R</v>
          </cell>
          <cell r="E615" t="str">
            <v>CL</v>
          </cell>
          <cell r="F615" t="str">
            <v>Stones, Greg</v>
          </cell>
          <cell r="G615" t="str">
            <v>HUM</v>
          </cell>
          <cell r="H615">
            <v>2.99</v>
          </cell>
          <cell r="I615">
            <v>169</v>
          </cell>
        </row>
        <row r="616">
          <cell r="B616" t="str">
            <v>0201452144919</v>
          </cell>
          <cell r="C616" t="str">
            <v>LUCKY DAY JOURNAL</v>
          </cell>
          <cell r="D616" t="str">
            <v>R</v>
          </cell>
          <cell r="E616" t="str">
            <v>JN</v>
          </cell>
          <cell r="F616" t="str">
            <v>Blackall, Sophie</v>
          </cell>
          <cell r="G616" t="str">
            <v>ARTS</v>
          </cell>
          <cell r="H616">
            <v>6.24</v>
          </cell>
          <cell r="I616">
            <v>0</v>
          </cell>
        </row>
        <row r="617">
          <cell r="B617" t="str">
            <v>0201452144964</v>
          </cell>
          <cell r="C617" t="str">
            <v>CITY SCRATCH-OFF MAP: SAN FRAN</v>
          </cell>
          <cell r="D617" t="str">
            <v>R</v>
          </cell>
          <cell r="E617" t="str">
            <v>MF</v>
          </cell>
          <cell r="F617" t="str">
            <v>Henry de Tessan, Christina ; Reifsnyder, Scotty</v>
          </cell>
          <cell r="G617" t="str">
            <v>GIFT</v>
          </cell>
          <cell r="H617">
            <v>4.63</v>
          </cell>
          <cell r="I617">
            <v>0</v>
          </cell>
        </row>
        <row r="618">
          <cell r="B618" t="str">
            <v>0201452144988</v>
          </cell>
          <cell r="C618" t="str">
            <v>I LIKE YOU, I LOVE YOU</v>
          </cell>
          <cell r="D618" t="str">
            <v>R</v>
          </cell>
          <cell r="E618" t="str">
            <v>CL</v>
          </cell>
          <cell r="F618" t="str">
            <v>Potter, Carissa</v>
          </cell>
          <cell r="G618" t="str">
            <v>FAMI</v>
          </cell>
          <cell r="H618">
            <v>3.99</v>
          </cell>
          <cell r="I618">
            <v>68</v>
          </cell>
        </row>
        <row r="619">
          <cell r="B619" t="str">
            <v>0201452145022</v>
          </cell>
          <cell r="C619" t="str">
            <v>PANTONE CHIPS JOURNAL: EARTH T</v>
          </cell>
          <cell r="D619" t="str">
            <v>R</v>
          </cell>
          <cell r="E619" t="str">
            <v>JN</v>
          </cell>
          <cell r="G619" t="str">
            <v>GIFT</v>
          </cell>
          <cell r="H619">
            <v>2.99</v>
          </cell>
          <cell r="I619">
            <v>192</v>
          </cell>
        </row>
        <row r="620">
          <cell r="B620" t="str">
            <v>0201452145329</v>
          </cell>
          <cell r="C620" t="str">
            <v>NO LAND'S MAN</v>
          </cell>
          <cell r="D620" t="str">
            <v>R</v>
          </cell>
          <cell r="E620" t="str">
            <v>PB</v>
          </cell>
          <cell r="F620" t="str">
            <v>Mandvi, Aasif</v>
          </cell>
          <cell r="G620" t="str">
            <v>HUM</v>
          </cell>
          <cell r="H620">
            <v>5.25</v>
          </cell>
          <cell r="I620">
            <v>0</v>
          </cell>
        </row>
        <row r="621">
          <cell r="B621" t="str">
            <v>0201452145350</v>
          </cell>
          <cell r="C621" t="str">
            <v>NOTE FOR NOTE</v>
          </cell>
          <cell r="D621" t="str">
            <v>R</v>
          </cell>
          <cell r="E621" t="str">
            <v>JN</v>
          </cell>
          <cell r="G621" t="str">
            <v>CHIL</v>
          </cell>
          <cell r="H621">
            <v>5.63</v>
          </cell>
          <cell r="I621">
            <v>0</v>
          </cell>
        </row>
        <row r="622">
          <cell r="B622" t="str">
            <v>0201452145459</v>
          </cell>
          <cell r="C622" t="str">
            <v>WORLD OF VIKINGS</v>
          </cell>
          <cell r="D622" t="str">
            <v>R</v>
          </cell>
          <cell r="E622" t="str">
            <v>CL</v>
          </cell>
          <cell r="F622" t="str">
            <v>Pollard, Justin ; Hirst, Michael</v>
          </cell>
          <cell r="G622" t="str">
            <v>HIST</v>
          </cell>
          <cell r="H622">
            <v>9.99</v>
          </cell>
          <cell r="I622">
            <v>466</v>
          </cell>
        </row>
        <row r="623">
          <cell r="B623" t="str">
            <v>0201452145664</v>
          </cell>
          <cell r="C623" t="str">
            <v>MON CHER ECLAIR</v>
          </cell>
          <cell r="D623" t="str">
            <v>R</v>
          </cell>
          <cell r="E623" t="str">
            <v>PB</v>
          </cell>
          <cell r="F623" t="str">
            <v>Ferreira, Charity ; De Leo, Joseph</v>
          </cell>
          <cell r="G623" t="str">
            <v>COOK</v>
          </cell>
          <cell r="H623">
            <v>4.99</v>
          </cell>
          <cell r="I623">
            <v>110</v>
          </cell>
        </row>
        <row r="624">
          <cell r="B624" t="str">
            <v>0201452145695</v>
          </cell>
          <cell r="C624" t="str">
            <v>RUBY'S WISH</v>
          </cell>
          <cell r="D624" t="str">
            <v>R</v>
          </cell>
          <cell r="E624" t="str">
            <v>PB</v>
          </cell>
          <cell r="F624" t="str">
            <v>Shirin Yim, Bridges ; Blackall, Sophie</v>
          </cell>
          <cell r="G624" t="str">
            <v>CHIL</v>
          </cell>
          <cell r="H624">
            <v>2.63</v>
          </cell>
          <cell r="I624">
            <v>0</v>
          </cell>
        </row>
        <row r="625">
          <cell r="B625" t="str">
            <v>0201452145701</v>
          </cell>
          <cell r="C625" t="str">
            <v>RHYME SCHEMER</v>
          </cell>
          <cell r="D625" t="str">
            <v>R</v>
          </cell>
          <cell r="E625" t="str">
            <v>PB</v>
          </cell>
          <cell r="F625" t="str">
            <v>Holt, K.A.</v>
          </cell>
          <cell r="G625" t="str">
            <v>CHIL</v>
          </cell>
          <cell r="H625">
            <v>2.5</v>
          </cell>
          <cell r="I625">
            <v>0</v>
          </cell>
        </row>
        <row r="626">
          <cell r="B626" t="str">
            <v>0201452145725</v>
          </cell>
          <cell r="C626" t="str">
            <v>HAPPINESS IS... 20 NOTECARDS A</v>
          </cell>
          <cell r="D626" t="str">
            <v>R</v>
          </cell>
          <cell r="E626" t="str">
            <v>NC</v>
          </cell>
          <cell r="F626" t="str">
            <v>Swerling, Lisa ; Lazar, Ralph</v>
          </cell>
          <cell r="G626" t="str">
            <v>ARTS</v>
          </cell>
          <cell r="H626">
            <v>5.63</v>
          </cell>
          <cell r="I626">
            <v>0</v>
          </cell>
        </row>
        <row r="627">
          <cell r="B627" t="str">
            <v>0201452145770</v>
          </cell>
          <cell r="C627" t="str">
            <v>PEN PAD PALS: CREATIVITY TIME</v>
          </cell>
          <cell r="D627" t="str">
            <v>R</v>
          </cell>
          <cell r="E627" t="str">
            <v>JN</v>
          </cell>
          <cell r="F627" t="str">
            <v>Rogge, Robie ; Rogge, Hannah ; McDevitt, Mary Kate</v>
          </cell>
          <cell r="G627" t="str">
            <v>GIFT</v>
          </cell>
          <cell r="H627">
            <v>2.99</v>
          </cell>
          <cell r="I627">
            <v>0</v>
          </cell>
        </row>
        <row r="628">
          <cell r="B628" t="str">
            <v>0201452145787</v>
          </cell>
          <cell r="C628" t="str">
            <v>PEN PAD PALS: AMAZING BRAINSTO</v>
          </cell>
          <cell r="D628" t="str">
            <v>R</v>
          </cell>
          <cell r="E628" t="str">
            <v>JN</v>
          </cell>
          <cell r="F628" t="str">
            <v>Rogge, Robie ; Rogge, Hannah ; McDevitt, Mary Kate</v>
          </cell>
          <cell r="G628" t="str">
            <v>GIFT</v>
          </cell>
          <cell r="H628">
            <v>2.99</v>
          </cell>
          <cell r="I628">
            <v>0</v>
          </cell>
        </row>
        <row r="629">
          <cell r="B629" t="str">
            <v>0201452146630</v>
          </cell>
          <cell r="C629" t="str">
            <v>RESCUED PAPER NOTEPAD</v>
          </cell>
          <cell r="D629" t="str">
            <v>R</v>
          </cell>
          <cell r="E629" t="str">
            <v>NP</v>
          </cell>
          <cell r="G629" t="str">
            <v>GIFT</v>
          </cell>
          <cell r="H629">
            <v>2.99</v>
          </cell>
          <cell r="I629">
            <v>68</v>
          </cell>
        </row>
        <row r="630">
          <cell r="B630" t="str">
            <v>0201452147286</v>
          </cell>
          <cell r="C630" t="str">
            <v>642 THINGS TO DRAW: PARIS (POC</v>
          </cell>
          <cell r="D630" t="str">
            <v>R</v>
          </cell>
          <cell r="E630" t="str">
            <v>JN</v>
          </cell>
          <cell r="G630" t="str">
            <v>GIFT</v>
          </cell>
          <cell r="H630">
            <v>3.74</v>
          </cell>
          <cell r="I630">
            <v>0</v>
          </cell>
        </row>
        <row r="631">
          <cell r="B631" t="str">
            <v>0201452147293</v>
          </cell>
          <cell r="C631" t="str">
            <v>642 THINGS TO DRAW: NEW YORK (</v>
          </cell>
          <cell r="D631" t="str">
            <v>R</v>
          </cell>
          <cell r="E631" t="str">
            <v>JN</v>
          </cell>
          <cell r="G631" t="str">
            <v>GIFT</v>
          </cell>
          <cell r="H631">
            <v>3.74</v>
          </cell>
          <cell r="I631">
            <v>0</v>
          </cell>
        </row>
        <row r="632">
          <cell r="B632" t="str">
            <v>0201452147347</v>
          </cell>
          <cell r="C632" t="str">
            <v>WHY BOYS NEED PARENTS</v>
          </cell>
          <cell r="D632" t="str">
            <v>R</v>
          </cell>
          <cell r="E632" t="str">
            <v>CL</v>
          </cell>
          <cell r="F632" t="str">
            <v>Beckerman, Alex</v>
          </cell>
          <cell r="G632" t="str">
            <v>HUM</v>
          </cell>
          <cell r="H632">
            <v>3.99</v>
          </cell>
          <cell r="I632">
            <v>277</v>
          </cell>
        </row>
        <row r="633">
          <cell r="B633" t="str">
            <v>0201452147392</v>
          </cell>
          <cell r="C633" t="str">
            <v>642 THINGS TO DRAW: 30 POSTCAR</v>
          </cell>
          <cell r="D633" t="str">
            <v>R</v>
          </cell>
          <cell r="E633" t="str">
            <v>PC</v>
          </cell>
          <cell r="G633" t="str">
            <v>ARTS</v>
          </cell>
          <cell r="H633">
            <v>2.99</v>
          </cell>
          <cell r="I633">
            <v>57</v>
          </cell>
        </row>
        <row r="634">
          <cell r="B634" t="str">
            <v>0201452148115</v>
          </cell>
          <cell r="C634" t="str">
            <v>ABC WORD PLAY</v>
          </cell>
          <cell r="D634" t="str">
            <v>R</v>
          </cell>
          <cell r="E634" t="str">
            <v>BG</v>
          </cell>
          <cell r="F634" t="str">
            <v>Perret, Fany</v>
          </cell>
          <cell r="G634" t="str">
            <v>CHAA</v>
          </cell>
          <cell r="H634">
            <v>5.99</v>
          </cell>
          <cell r="I634">
            <v>0</v>
          </cell>
        </row>
        <row r="635">
          <cell r="B635" t="str">
            <v>0201452148283</v>
          </cell>
          <cell r="C635" t="str">
            <v>CAT ZODIAC</v>
          </cell>
          <cell r="D635" t="str">
            <v>R</v>
          </cell>
          <cell r="E635" t="str">
            <v>CL</v>
          </cell>
          <cell r="F635" t="str">
            <v>Considine, Maeva ; Chu, Vikki</v>
          </cell>
          <cell r="G635" t="str">
            <v>NWAGE</v>
          </cell>
          <cell r="H635">
            <v>3.99</v>
          </cell>
          <cell r="I635">
            <v>0</v>
          </cell>
        </row>
        <row r="636">
          <cell r="B636" t="str">
            <v>0201452148290</v>
          </cell>
          <cell r="C636" t="str">
            <v>YOU KISS BY TH' BOOK</v>
          </cell>
          <cell r="D636" t="str">
            <v>R</v>
          </cell>
          <cell r="E636" t="str">
            <v>PB</v>
          </cell>
          <cell r="F636" t="str">
            <v>Soto, Gary</v>
          </cell>
          <cell r="G636" t="str">
            <v>LIT</v>
          </cell>
          <cell r="H636">
            <v>3.99</v>
          </cell>
          <cell r="I636">
            <v>110</v>
          </cell>
        </row>
        <row r="637">
          <cell r="B637" t="str">
            <v>0201452148375</v>
          </cell>
          <cell r="C637" t="str">
            <v>COOKIES &amp; COCKTAILS</v>
          </cell>
          <cell r="D637" t="str">
            <v>R</v>
          </cell>
          <cell r="E637" t="str">
            <v>CL</v>
          </cell>
          <cell r="F637" t="str">
            <v>Chronicle Books</v>
          </cell>
          <cell r="G637" t="str">
            <v>COOK</v>
          </cell>
          <cell r="H637">
            <v>5.24</v>
          </cell>
          <cell r="I637">
            <v>0</v>
          </cell>
        </row>
        <row r="638">
          <cell r="B638" t="str">
            <v>0201452149075</v>
          </cell>
          <cell r="C638" t="str">
            <v>PATHS TO HAPPINESS</v>
          </cell>
          <cell r="D638" t="str">
            <v>R</v>
          </cell>
          <cell r="E638" t="str">
            <v>CL</v>
          </cell>
          <cell r="F638" t="str">
            <v>Hoffman, Edward</v>
          </cell>
          <cell r="G638" t="str">
            <v>SELF</v>
          </cell>
          <cell r="H638">
            <v>5.99</v>
          </cell>
          <cell r="I638">
            <v>0</v>
          </cell>
        </row>
        <row r="639">
          <cell r="B639" t="str">
            <v>0201452149082</v>
          </cell>
          <cell r="C639" t="str">
            <v>DIPS &amp; SPREADS</v>
          </cell>
          <cell r="D639" t="str">
            <v>R</v>
          </cell>
          <cell r="E639" t="str">
            <v>CL</v>
          </cell>
          <cell r="F639" t="str">
            <v>Yanagihara, Dawn ; Cao, Angie</v>
          </cell>
          <cell r="G639" t="str">
            <v>COOK</v>
          </cell>
          <cell r="H639">
            <v>4.99</v>
          </cell>
          <cell r="I639">
            <v>95</v>
          </cell>
        </row>
        <row r="640">
          <cell r="B640" t="str">
            <v>0201452149136</v>
          </cell>
          <cell r="C640" t="str">
            <v>LITERARY LIFE WRAPPING PAPER</v>
          </cell>
          <cell r="D640" t="str">
            <v>R</v>
          </cell>
          <cell r="E640" t="str">
            <v>GW</v>
          </cell>
          <cell r="F640" t="str">
            <v>Morris, Michael</v>
          </cell>
          <cell r="G640" t="str">
            <v>GIFT</v>
          </cell>
          <cell r="H640">
            <v>6.24</v>
          </cell>
          <cell r="I640">
            <v>0</v>
          </cell>
        </row>
        <row r="641">
          <cell r="B641" t="str">
            <v>0201452149495</v>
          </cell>
          <cell r="C641" t="str">
            <v>GET TO THE POINT POKER</v>
          </cell>
          <cell r="D641" t="str">
            <v>R</v>
          </cell>
          <cell r="E641" t="str">
            <v>BG</v>
          </cell>
          <cell r="F641" t="str">
            <v>Forrest-Pruzan Creative</v>
          </cell>
          <cell r="G641" t="str">
            <v>SPOR</v>
          </cell>
          <cell r="H641">
            <v>5.63</v>
          </cell>
          <cell r="I641">
            <v>0</v>
          </cell>
        </row>
        <row r="642">
          <cell r="B642" t="str">
            <v>0201452149518</v>
          </cell>
          <cell r="C642" t="str">
            <v>AMY BUTLER'S BLOSSOM</v>
          </cell>
          <cell r="D642" t="str">
            <v>R</v>
          </cell>
          <cell r="E642" t="str">
            <v>PB</v>
          </cell>
          <cell r="F642" t="str">
            <v>Butler, Amy</v>
          </cell>
          <cell r="G642" t="str">
            <v>DESI</v>
          </cell>
          <cell r="H642">
            <v>10.5</v>
          </cell>
          <cell r="I642">
            <v>0</v>
          </cell>
        </row>
        <row r="643">
          <cell r="B643" t="str">
            <v>0201452149556</v>
          </cell>
          <cell r="C643" t="str">
            <v>INGRID BERGMAN: A LIFE IN PICT</v>
          </cell>
          <cell r="D643" t="str">
            <v>R</v>
          </cell>
          <cell r="E643" t="str">
            <v>PB</v>
          </cell>
          <cell r="F643" t="str">
            <v>Rossellini, Isabella ; Schirmer, Lothar</v>
          </cell>
          <cell r="G643" t="str">
            <v>PHOT</v>
          </cell>
          <cell r="H643">
            <v>11.99</v>
          </cell>
          <cell r="I643">
            <v>255</v>
          </cell>
        </row>
        <row r="644">
          <cell r="B644" t="str">
            <v>0201452149563</v>
          </cell>
          <cell r="C644" t="str">
            <v>MOVIE TITLE TYPOS</v>
          </cell>
          <cell r="D644" t="str">
            <v>R</v>
          </cell>
          <cell r="E644" t="str">
            <v>CL</v>
          </cell>
          <cell r="F644" t="str">
            <v>Light, Austin</v>
          </cell>
          <cell r="G644" t="str">
            <v>HUM</v>
          </cell>
          <cell r="H644">
            <v>4.99</v>
          </cell>
          <cell r="I644">
            <v>0</v>
          </cell>
        </row>
        <row r="645">
          <cell r="B645" t="str">
            <v>0201452149686</v>
          </cell>
          <cell r="C645" t="str">
            <v>GRUMPY CAT: NO-IT-ALL</v>
          </cell>
          <cell r="D645" t="str">
            <v>R</v>
          </cell>
          <cell r="E645" t="str">
            <v>CL</v>
          </cell>
          <cell r="F645" t="str">
            <v>Grumpy Cat</v>
          </cell>
          <cell r="G645" t="str">
            <v>HUM</v>
          </cell>
          <cell r="H645">
            <v>4.63</v>
          </cell>
          <cell r="I645">
            <v>0</v>
          </cell>
        </row>
        <row r="646">
          <cell r="B646" t="str">
            <v>0201452149761</v>
          </cell>
          <cell r="C646" t="str">
            <v>RESCUED PAPER WRITING SHEETS</v>
          </cell>
          <cell r="D646" t="str">
            <v>R</v>
          </cell>
          <cell r="E646" t="str">
            <v>ST</v>
          </cell>
          <cell r="G646" t="str">
            <v>ARTS</v>
          </cell>
          <cell r="H646">
            <v>3.99</v>
          </cell>
          <cell r="I646">
            <v>104</v>
          </cell>
        </row>
        <row r="647">
          <cell r="B647" t="str">
            <v>0201452150194</v>
          </cell>
          <cell r="C647" t="str">
            <v>KITCHEN STICKY NOTES + TO-DO L</v>
          </cell>
          <cell r="D647" t="str">
            <v>R</v>
          </cell>
          <cell r="E647" t="str">
            <v>ST</v>
          </cell>
          <cell r="F647" t="str">
            <v>T., Maya</v>
          </cell>
          <cell r="G647" t="str">
            <v>COOK</v>
          </cell>
          <cell r="H647">
            <v>3.99</v>
          </cell>
          <cell r="I647">
            <v>9</v>
          </cell>
        </row>
        <row r="648">
          <cell r="B648" t="str">
            <v>0201452150200</v>
          </cell>
          <cell r="C648" t="str">
            <v>LOIS GREENFIELD: MOVING STILL</v>
          </cell>
          <cell r="D648" t="str">
            <v>R</v>
          </cell>
          <cell r="E648" t="str">
            <v>CL</v>
          </cell>
          <cell r="F648" t="str">
            <v>Ewing, William A. ; Greenfield, Lois ; Greenfield, Lois</v>
          </cell>
          <cell r="G648" t="str">
            <v>PERF</v>
          </cell>
          <cell r="H648">
            <v>21.25</v>
          </cell>
          <cell r="I648">
            <v>0</v>
          </cell>
        </row>
        <row r="649">
          <cell r="B649" t="str">
            <v>0201452150217</v>
          </cell>
          <cell r="C649" t="str">
            <v>LIBRARY OF LUMINARIES: JANE AU</v>
          </cell>
          <cell r="D649" t="str">
            <v>R</v>
          </cell>
          <cell r="E649" t="str">
            <v>CL</v>
          </cell>
          <cell r="F649" t="str">
            <v>Alkayat, Zena ; Cosford, Nina</v>
          </cell>
          <cell r="G649" t="str">
            <v>ARTS</v>
          </cell>
          <cell r="H649">
            <v>4.99</v>
          </cell>
          <cell r="I649">
            <v>449</v>
          </cell>
        </row>
        <row r="650">
          <cell r="B650" t="str">
            <v>0201452150606</v>
          </cell>
          <cell r="C650" t="str">
            <v>BEHIND THE BAR: 2 TEA TOWELS</v>
          </cell>
          <cell r="D650" t="str">
            <v>R</v>
          </cell>
          <cell r="E650" t="str">
            <v>MI</v>
          </cell>
          <cell r="G650" t="str">
            <v>COOK</v>
          </cell>
          <cell r="H650">
            <v>4.99</v>
          </cell>
          <cell r="I650">
            <v>40</v>
          </cell>
        </row>
        <row r="651">
          <cell r="B651" t="str">
            <v>0201452150668</v>
          </cell>
          <cell r="C651" t="str">
            <v>642 THINGS TO DRAW: YOUNG ARTI</v>
          </cell>
          <cell r="D651" t="str">
            <v>R</v>
          </cell>
          <cell r="E651" t="str">
            <v>JN</v>
          </cell>
          <cell r="F651" t="str">
            <v>826 Valencia</v>
          </cell>
          <cell r="G651" t="str">
            <v>CHIL</v>
          </cell>
          <cell r="H651">
            <v>6.24</v>
          </cell>
          <cell r="I651">
            <v>0</v>
          </cell>
        </row>
        <row r="652">
          <cell r="B652" t="str">
            <v>0201452151252</v>
          </cell>
          <cell r="C652" t="str">
            <v>PHAROS GATE</v>
          </cell>
          <cell r="D652" t="str">
            <v>R</v>
          </cell>
          <cell r="E652" t="str">
            <v>CL</v>
          </cell>
          <cell r="F652" t="str">
            <v>Bantock, Nick</v>
          </cell>
          <cell r="G652" t="str">
            <v>FICT</v>
          </cell>
          <cell r="H652">
            <v>6.99</v>
          </cell>
          <cell r="I652">
            <v>768</v>
          </cell>
        </row>
        <row r="653">
          <cell r="B653" t="str">
            <v>0201452151276</v>
          </cell>
          <cell r="C653" t="str">
            <v>ART OF BEATRIX POTTER</v>
          </cell>
          <cell r="D653" t="str">
            <v>R</v>
          </cell>
          <cell r="E653" t="str">
            <v>CL</v>
          </cell>
          <cell r="F653" t="str">
            <v>Zach, Emily ; Heller, Steven ; Lear, Linda</v>
          </cell>
          <cell r="G653" t="str">
            <v>ARTS</v>
          </cell>
          <cell r="H653">
            <v>14.25</v>
          </cell>
          <cell r="I653">
            <v>0</v>
          </cell>
        </row>
        <row r="654">
          <cell r="B654" t="str">
            <v>0201452151306</v>
          </cell>
          <cell r="C654" t="str">
            <v>FROZEN ICICLE POPS AND COOL CR</v>
          </cell>
          <cell r="D654" t="str">
            <v>R</v>
          </cell>
          <cell r="E654" t="str">
            <v>KT</v>
          </cell>
          <cell r="F654" t="str">
            <v>Starr, Lara</v>
          </cell>
          <cell r="G654" t="str">
            <v>CHIL</v>
          </cell>
          <cell r="H654">
            <v>6.99</v>
          </cell>
          <cell r="I654">
            <v>144</v>
          </cell>
        </row>
        <row r="655">
          <cell r="B655" t="str">
            <v>0201452151504</v>
          </cell>
          <cell r="C655" t="str">
            <v>JOURNEY IN COLOR: MOROCCAN MOT</v>
          </cell>
          <cell r="D655" t="str">
            <v>R</v>
          </cell>
          <cell r="E655" t="str">
            <v>PB</v>
          </cell>
          <cell r="F655" t="str">
            <v>Hatch, Molly</v>
          </cell>
          <cell r="G655" t="str">
            <v>DESI</v>
          </cell>
          <cell r="H655">
            <v>3.99</v>
          </cell>
          <cell r="I655">
            <v>98</v>
          </cell>
        </row>
        <row r="656">
          <cell r="B656" t="str">
            <v>0201452151559</v>
          </cell>
          <cell r="C656" t="str">
            <v>THIS MOMENT IS FULL OF WONDERS</v>
          </cell>
          <cell r="D656" t="str">
            <v>R</v>
          </cell>
          <cell r="E656" t="str">
            <v>CL</v>
          </cell>
          <cell r="F656" t="str">
            <v>Hanh, Thich Nhat</v>
          </cell>
          <cell r="G656" t="str">
            <v>NWAGE</v>
          </cell>
          <cell r="H656">
            <v>4.99</v>
          </cell>
          <cell r="I656">
            <v>0</v>
          </cell>
        </row>
        <row r="657">
          <cell r="B657" t="str">
            <v>0201452151917</v>
          </cell>
          <cell r="C657" t="str">
            <v>ABCS OF ADULTHOOD</v>
          </cell>
          <cell r="D657" t="str">
            <v>R</v>
          </cell>
          <cell r="E657" t="str">
            <v>CL</v>
          </cell>
          <cell r="F657" t="str">
            <v>Copaken, Deborah ; Polumbo, Randy</v>
          </cell>
          <cell r="G657" t="str">
            <v>SELF</v>
          </cell>
          <cell r="H657">
            <v>5.24</v>
          </cell>
          <cell r="I657">
            <v>0</v>
          </cell>
        </row>
        <row r="658">
          <cell r="B658" t="str">
            <v>0201452151955</v>
          </cell>
          <cell r="C658" t="str">
            <v>COATSTERS: 15 ALL-WEATHER COAS</v>
          </cell>
          <cell r="D658" t="str">
            <v>R</v>
          </cell>
          <cell r="E658" t="str">
            <v>CT</v>
          </cell>
          <cell r="G658" t="str">
            <v>GIFT</v>
          </cell>
          <cell r="H658">
            <v>3.99</v>
          </cell>
          <cell r="I658">
            <v>44</v>
          </cell>
        </row>
        <row r="659">
          <cell r="B659" t="str">
            <v>0201452152051</v>
          </cell>
          <cell r="C659" t="str">
            <v>HAPPINESS IS... ONE HAPPY</v>
          </cell>
          <cell r="D659" t="str">
            <v>R</v>
          </cell>
          <cell r="E659" t="str">
            <v>JN</v>
          </cell>
          <cell r="F659" t="str">
            <v>Lazar, Ralph ; Swerling, Lisa</v>
          </cell>
          <cell r="G659" t="str">
            <v>GIFT</v>
          </cell>
          <cell r="H659">
            <v>3.99</v>
          </cell>
          <cell r="I659">
            <v>609</v>
          </cell>
        </row>
        <row r="660">
          <cell r="B660" t="str">
            <v>0201452152068</v>
          </cell>
          <cell r="C660" t="str">
            <v>ART OF SANJAY'S SUPER TEAM</v>
          </cell>
          <cell r="D660" t="str">
            <v>R</v>
          </cell>
          <cell r="E660" t="str">
            <v>CL</v>
          </cell>
          <cell r="F660" t="str">
            <v>Patel, Sanjay ; Lasseter, John ; Sasaki, Chris</v>
          </cell>
          <cell r="G660" t="str">
            <v>PERF</v>
          </cell>
          <cell r="H660">
            <v>8.99</v>
          </cell>
          <cell r="I660">
            <v>0</v>
          </cell>
        </row>
        <row r="661">
          <cell r="B661" t="str">
            <v>0201452152136</v>
          </cell>
          <cell r="C661" t="str">
            <v>ONE THING STOLEN</v>
          </cell>
          <cell r="D661" t="str">
            <v>R</v>
          </cell>
          <cell r="E661" t="str">
            <v>PB</v>
          </cell>
          <cell r="F661" t="str">
            <v>Kephart, Beth</v>
          </cell>
          <cell r="G661" t="str">
            <v>YAF</v>
          </cell>
          <cell r="H661">
            <v>2.99</v>
          </cell>
          <cell r="I661">
            <v>120</v>
          </cell>
        </row>
        <row r="662">
          <cell r="B662" t="str">
            <v>0201452152235</v>
          </cell>
          <cell r="C662" t="str">
            <v>EAT DRINK PALEO COOKBOOK</v>
          </cell>
          <cell r="D662" t="str">
            <v>R</v>
          </cell>
          <cell r="E662" t="str">
            <v>PB</v>
          </cell>
          <cell r="F662" t="str">
            <v>Macri, Irena</v>
          </cell>
          <cell r="G662" t="str">
            <v>COOK</v>
          </cell>
          <cell r="H662">
            <v>8.99</v>
          </cell>
          <cell r="I662">
            <v>0</v>
          </cell>
        </row>
        <row r="663">
          <cell r="B663" t="str">
            <v>0201452152433</v>
          </cell>
          <cell r="C663" t="str">
            <v>COZY CLASSICS: GREAT EXPECTATI</v>
          </cell>
          <cell r="D663" t="str">
            <v>R</v>
          </cell>
          <cell r="E663" t="str">
            <v>BD</v>
          </cell>
          <cell r="F663" t="str">
            <v>Wang, Jack ; Wang, Holman</v>
          </cell>
          <cell r="G663" t="str">
            <v>CHIL</v>
          </cell>
          <cell r="H663">
            <v>2.99</v>
          </cell>
          <cell r="I663">
            <v>643</v>
          </cell>
        </row>
        <row r="664">
          <cell r="B664" t="str">
            <v>0201452152457</v>
          </cell>
          <cell r="C664" t="str">
            <v>COZY CLASSICS: WAR &amp; PEACE</v>
          </cell>
          <cell r="D664" t="str">
            <v>R</v>
          </cell>
          <cell r="E664" t="str">
            <v>BD</v>
          </cell>
          <cell r="F664" t="str">
            <v>Wang, Holman ; Wang, Jack</v>
          </cell>
          <cell r="G664" t="str">
            <v>CHIL</v>
          </cell>
          <cell r="H664">
            <v>2.99</v>
          </cell>
          <cell r="I664">
            <v>284</v>
          </cell>
        </row>
        <row r="665">
          <cell r="B665" t="str">
            <v>0201452152464</v>
          </cell>
          <cell r="C665" t="str">
            <v>COZY CLASSICS: MOBY DICK</v>
          </cell>
          <cell r="D665" t="str">
            <v>R</v>
          </cell>
          <cell r="E665" t="str">
            <v>BD</v>
          </cell>
          <cell r="F665" t="str">
            <v>Wang, Jack ; Wang, Holman</v>
          </cell>
          <cell r="G665" t="str">
            <v>CHIL</v>
          </cell>
          <cell r="H665">
            <v>2.99</v>
          </cell>
          <cell r="I665">
            <v>144</v>
          </cell>
        </row>
        <row r="666">
          <cell r="B666" t="str">
            <v>0201452152488</v>
          </cell>
          <cell r="C666" t="str">
            <v>COZY CLASSICS: THE NUTCRACKER</v>
          </cell>
          <cell r="D666" t="str">
            <v>R</v>
          </cell>
          <cell r="E666" t="str">
            <v>BD</v>
          </cell>
          <cell r="F666" t="str">
            <v>Wang, Jack ; Wang, Holman</v>
          </cell>
          <cell r="G666" t="str">
            <v>CHIL</v>
          </cell>
          <cell r="H666">
            <v>2.99</v>
          </cell>
          <cell r="I666">
            <v>479</v>
          </cell>
        </row>
        <row r="667">
          <cell r="B667" t="str">
            <v>0201452152921</v>
          </cell>
          <cell r="C667" t="str">
            <v>DRAW YOUR BIG IDEA</v>
          </cell>
          <cell r="D667" t="str">
            <v>R</v>
          </cell>
          <cell r="E667" t="str">
            <v>PB</v>
          </cell>
          <cell r="F667" t="str">
            <v>Herting, Nora ; Willems, Heather</v>
          </cell>
          <cell r="G667" t="str">
            <v>BUSI</v>
          </cell>
          <cell r="H667">
            <v>5.99</v>
          </cell>
          <cell r="I667">
            <v>0</v>
          </cell>
        </row>
        <row r="668">
          <cell r="B668" t="str">
            <v>0201452153461</v>
          </cell>
          <cell r="C668" t="str">
            <v>PROJECT JACKALOPE</v>
          </cell>
          <cell r="D668" t="str">
            <v>R</v>
          </cell>
          <cell r="E668" t="str">
            <v>pb</v>
          </cell>
          <cell r="F668" t="str">
            <v>Ecton, Emily</v>
          </cell>
          <cell r="G668" t="str">
            <v>CHIL</v>
          </cell>
          <cell r="H668">
            <v>2.5</v>
          </cell>
          <cell r="I668">
            <v>0</v>
          </cell>
        </row>
        <row r="669">
          <cell r="B669" t="str">
            <v>0201452154352</v>
          </cell>
          <cell r="C669" t="str">
            <v>642 THINGS TO COLOR</v>
          </cell>
          <cell r="D669" t="str">
            <v>R</v>
          </cell>
          <cell r="E669" t="str">
            <v>PB</v>
          </cell>
          <cell r="G669" t="str">
            <v>SPOR</v>
          </cell>
          <cell r="H669">
            <v>4.99</v>
          </cell>
          <cell r="I669">
            <v>0</v>
          </cell>
        </row>
        <row r="670">
          <cell r="B670" t="str">
            <v>0201452154635</v>
          </cell>
          <cell r="C670" t="str">
            <v>GNGNCS GLOW IN THE DARK GROWTH</v>
          </cell>
          <cell r="D670" t="str">
            <v>R</v>
          </cell>
          <cell r="E670" t="str">
            <v>MI</v>
          </cell>
          <cell r="F670" t="str">
            <v>Rinker, Sherri Duskey ; Lichtenheld, Tom</v>
          </cell>
          <cell r="G670" t="str">
            <v>CHIL</v>
          </cell>
          <cell r="H670">
            <v>3.99</v>
          </cell>
          <cell r="I670">
            <v>0</v>
          </cell>
        </row>
        <row r="671">
          <cell r="B671" t="str">
            <v>0201452155052</v>
          </cell>
          <cell r="C671" t="str">
            <v>DESIGNING WITH PIXAR</v>
          </cell>
          <cell r="D671" t="str">
            <v>R</v>
          </cell>
          <cell r="E671" t="str">
            <v>PB</v>
          </cell>
          <cell r="F671" t="str">
            <v>Bierut, Michael ; Hewitt, 'Cooper ; Lasseter, John</v>
          </cell>
          <cell r="G671" t="str">
            <v>CHAA</v>
          </cell>
          <cell r="H671">
            <v>3.99</v>
          </cell>
          <cell r="I671">
            <v>100</v>
          </cell>
        </row>
        <row r="672">
          <cell r="B672" t="str">
            <v>0201452155854</v>
          </cell>
          <cell r="C672" t="str">
            <v>GHOST WAVE</v>
          </cell>
          <cell r="D672" t="str">
            <v>R</v>
          </cell>
          <cell r="E672" t="str">
            <v>PB</v>
          </cell>
          <cell r="F672" t="str">
            <v>Dixon, Chris</v>
          </cell>
          <cell r="G672" t="str">
            <v>TRAV</v>
          </cell>
          <cell r="H672">
            <v>4.99</v>
          </cell>
          <cell r="I672">
            <v>160</v>
          </cell>
        </row>
        <row r="673">
          <cell r="B673" t="str">
            <v>0201452156387</v>
          </cell>
          <cell r="C673" t="str">
            <v>THINGS I'D DO (BUT JUST FOR YO</v>
          </cell>
          <cell r="D673" t="str">
            <v>R</v>
          </cell>
          <cell r="E673" t="str">
            <v>CL</v>
          </cell>
          <cell r="F673" t="str">
            <v>Sjogren, Jack</v>
          </cell>
          <cell r="G673" t="str">
            <v>HUM</v>
          </cell>
          <cell r="H673">
            <v>4.63</v>
          </cell>
          <cell r="I673">
            <v>0</v>
          </cell>
        </row>
        <row r="674">
          <cell r="B674" t="str">
            <v>0201452156745</v>
          </cell>
          <cell r="C674" t="str">
            <v>GRATITATTS</v>
          </cell>
          <cell r="D674" t="str">
            <v>R</v>
          </cell>
          <cell r="E674" t="str">
            <v>MI</v>
          </cell>
          <cell r="G674" t="str">
            <v>GIFT</v>
          </cell>
          <cell r="H674">
            <v>3.99</v>
          </cell>
          <cell r="I674">
            <v>72</v>
          </cell>
        </row>
        <row r="675">
          <cell r="B675" t="str">
            <v>0201452156905</v>
          </cell>
          <cell r="C675" t="str">
            <v>642 THINGS TO DRAW COLORED PEN</v>
          </cell>
          <cell r="D675" t="str">
            <v>R</v>
          </cell>
          <cell r="E675" t="str">
            <v>EW</v>
          </cell>
          <cell r="G675" t="str">
            <v>GIFT</v>
          </cell>
          <cell r="H675">
            <v>3.99</v>
          </cell>
          <cell r="I675">
            <v>20</v>
          </cell>
        </row>
        <row r="676">
          <cell r="B676" t="str">
            <v>0201452157636</v>
          </cell>
          <cell r="C676" t="str">
            <v>TAXI DRIVER WISDOM: 20TH ANNIV</v>
          </cell>
          <cell r="D676" t="str">
            <v>R</v>
          </cell>
          <cell r="E676" t="str">
            <v>CL</v>
          </cell>
          <cell r="F676" t="str">
            <v>Mickenberg, Risa ; Dugan, Joanne ; Hughes, Brian Lee</v>
          </cell>
          <cell r="G676" t="str">
            <v>PHILO</v>
          </cell>
          <cell r="H676">
            <v>3.99</v>
          </cell>
          <cell r="I676">
            <v>100</v>
          </cell>
        </row>
        <row r="677">
          <cell r="B677" t="str">
            <v>0201452158343</v>
          </cell>
          <cell r="C677" t="str">
            <v>CURLS, CURLS, CURLS</v>
          </cell>
          <cell r="D677" t="str">
            <v>R</v>
          </cell>
          <cell r="E677" t="str">
            <v>PB</v>
          </cell>
          <cell r="F677" t="str">
            <v>Harris, Samantha</v>
          </cell>
          <cell r="G677" t="str">
            <v>HEAL</v>
          </cell>
          <cell r="H677">
            <v>5.99</v>
          </cell>
          <cell r="I677">
            <v>60</v>
          </cell>
        </row>
        <row r="678">
          <cell r="B678" t="str">
            <v>0201452159784</v>
          </cell>
          <cell r="C678" t="str">
            <v>THIS ANNOYING LIFE</v>
          </cell>
          <cell r="D678" t="str">
            <v>R</v>
          </cell>
          <cell r="E678" t="str">
            <v>PB</v>
          </cell>
          <cell r="F678" t="str">
            <v>Davis, Oslo</v>
          </cell>
          <cell r="G678" t="str">
            <v>SPOR</v>
          </cell>
          <cell r="H678">
            <v>3.99</v>
          </cell>
          <cell r="I678">
            <v>235</v>
          </cell>
        </row>
        <row r="679">
          <cell r="B679" t="str">
            <v>0201604152533</v>
          </cell>
          <cell r="C679" t="str">
            <v>LOVE IS A SECRET 2ndED</v>
          </cell>
          <cell r="D679" t="str">
            <v>R</v>
          </cell>
          <cell r="E679" t="str">
            <v>PB</v>
          </cell>
          <cell r="F679" t="str">
            <v>Vidich, Andrew ; Andrew, Vidich</v>
          </cell>
          <cell r="G679" t="str">
            <v>RELI</v>
          </cell>
          <cell r="H679">
            <v>2.99</v>
          </cell>
          <cell r="I679">
            <v>260</v>
          </cell>
        </row>
        <row r="680">
          <cell r="B680" t="str">
            <v>0201608820568</v>
          </cell>
          <cell r="C680" t="str">
            <v>BUT I DESERVE THIS CHOCOLATE!</v>
          </cell>
          <cell r="D680" t="str">
            <v>R</v>
          </cell>
          <cell r="E680" t="str">
            <v>PB</v>
          </cell>
          <cell r="F680" t="str">
            <v>Albers, Susan</v>
          </cell>
          <cell r="G680" t="str">
            <v>SELF</v>
          </cell>
          <cell r="H680">
            <v>4.99</v>
          </cell>
          <cell r="I680">
            <v>0</v>
          </cell>
        </row>
        <row r="681">
          <cell r="B681" t="str">
            <v>0201616891376</v>
          </cell>
          <cell r="C681" t="str">
            <v>CASA ALTA</v>
          </cell>
          <cell r="D681" t="str">
            <v>R</v>
          </cell>
          <cell r="E681" t="str">
            <v>CL</v>
          </cell>
          <cell r="F681" t="str">
            <v>McMillan, Elizabeth ; Barnes, Richard ; Loomis, John</v>
          </cell>
          <cell r="G681" t="str">
            <v>ARCH</v>
          </cell>
          <cell r="H681">
            <v>15.5</v>
          </cell>
          <cell r="I681">
            <v>0</v>
          </cell>
        </row>
        <row r="682">
          <cell r="B682" t="str">
            <v>0201616891413</v>
          </cell>
          <cell r="C682" t="str">
            <v>BIRD WATCHING AND OTHER NATURE</v>
          </cell>
          <cell r="D682" t="str">
            <v>R</v>
          </cell>
          <cell r="E682" t="str">
            <v>CL</v>
          </cell>
          <cell r="F682" t="str">
            <v>Kiser, Joy M.</v>
          </cell>
          <cell r="G682" t="str">
            <v>NAT</v>
          </cell>
          <cell r="H682">
            <v>4.49</v>
          </cell>
          <cell r="I682">
            <v>120</v>
          </cell>
        </row>
        <row r="683">
          <cell r="B683" t="str">
            <v>0201616891567</v>
          </cell>
          <cell r="C683" t="str">
            <v>MORE SCENES FROM THE RURAL LIF</v>
          </cell>
          <cell r="D683" t="str">
            <v>R</v>
          </cell>
          <cell r="E683" t="str">
            <v>CL</v>
          </cell>
          <cell r="F683" t="str">
            <v>Klinkenborg, Verlyn</v>
          </cell>
          <cell r="G683" t="str">
            <v>BIOG</v>
          </cell>
          <cell r="H683">
            <v>7.49</v>
          </cell>
          <cell r="I683">
            <v>0</v>
          </cell>
        </row>
        <row r="684">
          <cell r="B684" t="str">
            <v>0201616892502</v>
          </cell>
          <cell r="C684" t="str">
            <v>INTANT EXPERT: LINGERIE</v>
          </cell>
          <cell r="D684" t="str">
            <v>R</v>
          </cell>
          <cell r="E684" t="str">
            <v>CL</v>
          </cell>
          <cell r="F684" t="str">
            <v>Racco, Marilisa</v>
          </cell>
          <cell r="G684" t="str">
            <v>DESI</v>
          </cell>
          <cell r="H684">
            <v>5.74</v>
          </cell>
          <cell r="I684">
            <v>0</v>
          </cell>
        </row>
        <row r="685">
          <cell r="B685" t="str">
            <v>0201616892762</v>
          </cell>
          <cell r="C685" t="str">
            <v>WORN STORIES</v>
          </cell>
          <cell r="D685" t="str">
            <v>R</v>
          </cell>
          <cell r="E685" t="str">
            <v>CL</v>
          </cell>
          <cell r="F685" t="str">
            <v>Spivack, Emily</v>
          </cell>
          <cell r="G685" t="str">
            <v>DESI</v>
          </cell>
          <cell r="H685">
            <v>8.99</v>
          </cell>
          <cell r="I685">
            <v>88</v>
          </cell>
        </row>
        <row r="686">
          <cell r="B686" t="str">
            <v>0201616893523</v>
          </cell>
          <cell r="C686" t="str">
            <v>WAR PLAN RED</v>
          </cell>
          <cell r="D686" t="str">
            <v>R</v>
          </cell>
          <cell r="E686" t="str">
            <v>PB</v>
          </cell>
          <cell r="F686" t="str">
            <v>Lippert, Kevin</v>
          </cell>
          <cell r="G686" t="str">
            <v>HIST</v>
          </cell>
          <cell r="H686">
            <v>5.24</v>
          </cell>
          <cell r="I686">
            <v>120</v>
          </cell>
        </row>
        <row r="687">
          <cell r="B687" t="str">
            <v>0201616893943</v>
          </cell>
          <cell r="C687" t="str">
            <v>BUSINESS OF CREATIVITY</v>
          </cell>
          <cell r="D687" t="str">
            <v>R</v>
          </cell>
          <cell r="E687" t="str">
            <v>CL</v>
          </cell>
          <cell r="F687" t="str">
            <v>Granet, Keith</v>
          </cell>
          <cell r="G687" t="str">
            <v>DESI</v>
          </cell>
          <cell r="H687">
            <v>14.25</v>
          </cell>
          <cell r="I687">
            <v>48</v>
          </cell>
        </row>
        <row r="688">
          <cell r="B688" t="str">
            <v>0201616894056</v>
          </cell>
          <cell r="C688" t="str">
            <v>GOATMAN</v>
          </cell>
          <cell r="D688" t="str">
            <v>R</v>
          </cell>
          <cell r="E688" t="str">
            <v>cl</v>
          </cell>
          <cell r="F688" t="str">
            <v>Thwaites, Thomas</v>
          </cell>
          <cell r="G688" t="str">
            <v>BIOG</v>
          </cell>
          <cell r="H688">
            <v>8.99</v>
          </cell>
          <cell r="I688">
            <v>56</v>
          </cell>
        </row>
        <row r="689">
          <cell r="B689" t="str">
            <v>0201616894544</v>
          </cell>
          <cell r="C689" t="str">
            <v>ELECTRIC PENCIL</v>
          </cell>
          <cell r="D689" t="str">
            <v>R</v>
          </cell>
          <cell r="E689" t="str">
            <v>PB</v>
          </cell>
          <cell r="F689" t="str">
            <v>Deeds Jr., James Edward ; Diamant, Harris ; Goodman, Richard</v>
          </cell>
          <cell r="G689" t="str">
            <v>BIOG</v>
          </cell>
          <cell r="H689">
            <v>10.49</v>
          </cell>
          <cell r="I689">
            <v>68</v>
          </cell>
        </row>
        <row r="690">
          <cell r="B690" t="str">
            <v>0201616894582</v>
          </cell>
          <cell r="C690" t="str">
            <v>FRIES!</v>
          </cell>
          <cell r="D690" t="str">
            <v>R</v>
          </cell>
          <cell r="E690" t="str">
            <v>CL</v>
          </cell>
          <cell r="F690" t="str">
            <v>Lingle, Blake</v>
          </cell>
          <cell r="G690" t="str">
            <v>COOK</v>
          </cell>
          <cell r="H690">
            <v>5.99</v>
          </cell>
          <cell r="I690">
            <v>96</v>
          </cell>
        </row>
        <row r="691">
          <cell r="B691" t="str">
            <v>0201616894674</v>
          </cell>
          <cell r="C691" t="str">
            <v>PARIS CHANGING</v>
          </cell>
          <cell r="D691" t="str">
            <v>R</v>
          </cell>
          <cell r="E691" t="str">
            <v>PB</v>
          </cell>
          <cell r="F691" t="str">
            <v>Rauschenberg, Christopher</v>
          </cell>
          <cell r="G691" t="str">
            <v>TRAV</v>
          </cell>
          <cell r="H691">
            <v>8.99</v>
          </cell>
          <cell r="I691">
            <v>56</v>
          </cell>
        </row>
        <row r="692">
          <cell r="B692" t="str">
            <v>0201616894803</v>
          </cell>
          <cell r="C692" t="str">
            <v>IT WAS SO QUIET I COULD HEAR A</v>
          </cell>
          <cell r="D692" t="str">
            <v>R</v>
          </cell>
          <cell r="E692" t="str">
            <v>CL</v>
          </cell>
          <cell r="F692" t="str">
            <v>Goodman, Andy</v>
          </cell>
          <cell r="G692" t="str">
            <v>CHIL</v>
          </cell>
          <cell r="H692">
            <v>5.49</v>
          </cell>
          <cell r="I692">
            <v>20</v>
          </cell>
        </row>
        <row r="693">
          <cell r="B693" t="str">
            <v>0201616894902</v>
          </cell>
          <cell r="C693" t="str">
            <v>PABLO &amp; HIS CHAIR</v>
          </cell>
          <cell r="D693" t="str">
            <v>R</v>
          </cell>
          <cell r="E693" t="str">
            <v>CL</v>
          </cell>
          <cell r="F693" t="str">
            <v>Perret, Delphine</v>
          </cell>
          <cell r="G693" t="str">
            <v>CHIL</v>
          </cell>
          <cell r="H693">
            <v>6.24</v>
          </cell>
          <cell r="I693">
            <v>120</v>
          </cell>
        </row>
        <row r="694">
          <cell r="B694" t="str">
            <v>0201616894940</v>
          </cell>
          <cell r="C694" t="str">
            <v>LISTEN! LISTEN!</v>
          </cell>
          <cell r="D694" t="str">
            <v>R</v>
          </cell>
          <cell r="E694" t="str">
            <v>CL</v>
          </cell>
          <cell r="F694" t="str">
            <v>Rand, Paul ; Rand, Ann</v>
          </cell>
          <cell r="G694" t="str">
            <v>CHIL</v>
          </cell>
          <cell r="H694">
            <v>6.24</v>
          </cell>
          <cell r="I694">
            <v>64</v>
          </cell>
        </row>
        <row r="695">
          <cell r="B695" t="str">
            <v>0201616895107</v>
          </cell>
          <cell r="C695" t="str">
            <v>DRAW LIKE AN ARTIST</v>
          </cell>
          <cell r="D695" t="str">
            <v>R</v>
          </cell>
          <cell r="E695" t="str">
            <v>PB</v>
          </cell>
          <cell r="F695" t="str">
            <v>Geis, Patricia</v>
          </cell>
          <cell r="G695" t="str">
            <v>CHAA</v>
          </cell>
          <cell r="H695">
            <v>4.5</v>
          </cell>
          <cell r="I695">
            <v>42</v>
          </cell>
        </row>
        <row r="696">
          <cell r="B696" t="str">
            <v>0201616895121</v>
          </cell>
          <cell r="C696" t="str">
            <v>LABYRINTHS &amp; MAZES</v>
          </cell>
          <cell r="D696" t="str">
            <v>R</v>
          </cell>
          <cell r="E696" t="str">
            <v>PB</v>
          </cell>
          <cell r="F696" t="str">
            <v>Tatarella, Francesca</v>
          </cell>
          <cell r="G696" t="str">
            <v>ARCH</v>
          </cell>
          <cell r="H696">
            <v>14.24</v>
          </cell>
          <cell r="I696">
            <v>0</v>
          </cell>
        </row>
        <row r="697">
          <cell r="B697" t="str">
            <v>0201616895237</v>
          </cell>
          <cell r="C697" t="str">
            <v>BLIND PHOTOGRAPHER</v>
          </cell>
          <cell r="D697" t="str">
            <v>R</v>
          </cell>
          <cell r="E697" t="str">
            <v>CL</v>
          </cell>
          <cell r="F697" t="str">
            <v>Rothenstein, Julian ; McWilliam, Candia</v>
          </cell>
          <cell r="G697" t="str">
            <v>PHOT</v>
          </cell>
          <cell r="H697">
            <v>16</v>
          </cell>
          <cell r="I697">
            <v>50</v>
          </cell>
        </row>
        <row r="698">
          <cell r="B698" t="str">
            <v>0201616895268</v>
          </cell>
          <cell r="C698" t="str">
            <v>YOU ARE HERE: NYC</v>
          </cell>
          <cell r="D698" t="str">
            <v>R</v>
          </cell>
          <cell r="E698" t="str">
            <v>PB</v>
          </cell>
          <cell r="F698" t="str">
            <v>Harmon, Katharine</v>
          </cell>
          <cell r="G698" t="str">
            <v>REF</v>
          </cell>
          <cell r="H698">
            <v>8.99</v>
          </cell>
          <cell r="I698">
            <v>80</v>
          </cell>
        </row>
        <row r="699">
          <cell r="B699" t="str">
            <v>0201741174856</v>
          </cell>
          <cell r="C699" t="str">
            <v>STREET ART: INTERNATIONAL</v>
          </cell>
          <cell r="D699" t="str">
            <v>R</v>
          </cell>
          <cell r="E699" t="str">
            <v>CL</v>
          </cell>
          <cell r="F699" t="str">
            <v>Chamberlin, Lou</v>
          </cell>
          <cell r="G699" t="str">
            <v>ARTS</v>
          </cell>
          <cell r="H699">
            <v>12.5</v>
          </cell>
          <cell r="I699">
            <v>60</v>
          </cell>
        </row>
        <row r="700">
          <cell r="B700" t="str">
            <v>0201741174894</v>
          </cell>
          <cell r="C700" t="str">
            <v>#HOWTWOLIVE</v>
          </cell>
          <cell r="D700" t="str">
            <v>R</v>
          </cell>
          <cell r="E700" t="str">
            <v>CL</v>
          </cell>
          <cell r="F700" t="str">
            <v>Dadon, Jess ; Dadon, Stef</v>
          </cell>
          <cell r="G700" t="str">
            <v>CRAF</v>
          </cell>
          <cell r="H700">
            <v>5.99</v>
          </cell>
          <cell r="I700">
            <v>120</v>
          </cell>
        </row>
        <row r="701">
          <cell r="B701" t="str">
            <v>0201741175082</v>
          </cell>
          <cell r="C701" t="str">
            <v>CREATE &amp; DECORATE</v>
          </cell>
          <cell r="D701" t="str">
            <v>R</v>
          </cell>
          <cell r="E701" t="str">
            <v>PB</v>
          </cell>
          <cell r="F701" t="str">
            <v>Holder, Katy</v>
          </cell>
          <cell r="G701" t="str">
            <v>CRAF</v>
          </cell>
          <cell r="H701">
            <v>9</v>
          </cell>
          <cell r="I701">
            <v>80</v>
          </cell>
        </row>
        <row r="702">
          <cell r="B702" t="str">
            <v>0201741175143</v>
          </cell>
          <cell r="C702" t="str">
            <v>CONNECT WITH NATURE</v>
          </cell>
          <cell r="D702" t="str">
            <v>R</v>
          </cell>
          <cell r="E702" t="str">
            <v>CL</v>
          </cell>
          <cell r="F702" t="str">
            <v>Carlile, Anna</v>
          </cell>
          <cell r="G702" t="str">
            <v>CRAF</v>
          </cell>
          <cell r="H702">
            <v>12.5</v>
          </cell>
          <cell r="I702">
            <v>0</v>
          </cell>
        </row>
        <row r="703">
          <cell r="B703" t="str">
            <v>0201741176225</v>
          </cell>
          <cell r="C703" t="str">
            <v>RETRO SWEATERS</v>
          </cell>
          <cell r="D703" t="str">
            <v>R</v>
          </cell>
          <cell r="E703" t="str">
            <v>CL</v>
          </cell>
          <cell r="F703" t="str">
            <v>Bennett, Simone</v>
          </cell>
          <cell r="G703" t="str">
            <v>HUM</v>
          </cell>
          <cell r="H703">
            <v>4.99</v>
          </cell>
          <cell r="I703">
            <v>200</v>
          </cell>
        </row>
        <row r="704">
          <cell r="B704" t="str">
            <v>0201742201049</v>
          </cell>
          <cell r="C704" t="str">
            <v>TONY WHEELER'S BAD LANDS 2ndED</v>
          </cell>
          <cell r="D704" t="str">
            <v>R</v>
          </cell>
          <cell r="E704" t="str">
            <v>PB</v>
          </cell>
          <cell r="F704" t="str">
            <v>Wheeler, Tony</v>
          </cell>
          <cell r="G704" t="str">
            <v>TRAV</v>
          </cell>
          <cell r="H704">
            <v>4.25</v>
          </cell>
          <cell r="I704">
            <v>0</v>
          </cell>
        </row>
        <row r="705">
          <cell r="B705" t="str">
            <v>0201742204934</v>
          </cell>
          <cell r="C705" t="str">
            <v>LIGHTS, CAMERA... TRAVEL!</v>
          </cell>
          <cell r="D705" t="str">
            <v>R</v>
          </cell>
          <cell r="E705" t="str">
            <v>Pb</v>
          </cell>
          <cell r="F705" t="str">
            <v>Publications, Lonely Planet</v>
          </cell>
          <cell r="G705" t="str">
            <v>TRAV</v>
          </cell>
          <cell r="H705">
            <v>4.75</v>
          </cell>
          <cell r="I705">
            <v>0</v>
          </cell>
        </row>
        <row r="706">
          <cell r="B706" t="str">
            <v>0201742705264</v>
          </cell>
          <cell r="C706" t="str">
            <v>REAL VIETNAMESE COOKING</v>
          </cell>
          <cell r="D706" t="str">
            <v>R</v>
          </cell>
          <cell r="E706" t="str">
            <v>PB</v>
          </cell>
          <cell r="F706" t="str">
            <v>Lister, Tracey ; Pohl, Andreas ; Fountoulakis, Michael</v>
          </cell>
          <cell r="G706" t="str">
            <v>COOK</v>
          </cell>
          <cell r="H706">
            <v>11.99</v>
          </cell>
          <cell r="I706">
            <v>0</v>
          </cell>
        </row>
        <row r="707">
          <cell r="B707" t="str">
            <v>0201742709361</v>
          </cell>
          <cell r="C707" t="str">
            <v>BBQ COMPANION</v>
          </cell>
          <cell r="D707" t="str">
            <v>R</v>
          </cell>
          <cell r="E707" t="str">
            <v>PB</v>
          </cell>
          <cell r="F707" t="str">
            <v>O'Donoghue, Ben</v>
          </cell>
          <cell r="G707" t="str">
            <v>COOK</v>
          </cell>
          <cell r="H707">
            <v>7.99</v>
          </cell>
          <cell r="I707">
            <v>139</v>
          </cell>
        </row>
        <row r="708">
          <cell r="B708" t="str">
            <v>0201742709958</v>
          </cell>
          <cell r="C708" t="str">
            <v>YOU MEAN THE WORLD TO ME</v>
          </cell>
          <cell r="D708" t="str">
            <v>R</v>
          </cell>
          <cell r="E708" t="str">
            <v>CL</v>
          </cell>
          <cell r="F708" t="str">
            <v>Hunter, Jesse</v>
          </cell>
          <cell r="G708" t="str">
            <v>PHOT</v>
          </cell>
          <cell r="H708">
            <v>4.99</v>
          </cell>
          <cell r="I708">
            <v>90</v>
          </cell>
        </row>
        <row r="709">
          <cell r="B709" t="str">
            <v>0201743214307</v>
          </cell>
          <cell r="C709" t="str">
            <v>WORLD'S GREAT WONDERS 1stED</v>
          </cell>
          <cell r="D709" t="str">
            <v>R</v>
          </cell>
          <cell r="E709" t="str">
            <v>CL</v>
          </cell>
          <cell r="F709" t="str">
            <v>Osman, Jheni</v>
          </cell>
          <cell r="G709" t="str">
            <v>ARCH</v>
          </cell>
          <cell r="H709">
            <v>6.99</v>
          </cell>
          <cell r="I709">
            <v>0</v>
          </cell>
        </row>
        <row r="710">
          <cell r="B710" t="str">
            <v>0201743217179</v>
          </cell>
          <cell r="C710" t="str">
            <v>LONELY PLANET'S BEAUTIFUL WORL</v>
          </cell>
          <cell r="D710" t="str">
            <v>R</v>
          </cell>
          <cell r="E710" t="str">
            <v>CL</v>
          </cell>
          <cell r="F710" t="str">
            <v>Planet, Lonely</v>
          </cell>
          <cell r="G710" t="str">
            <v>TRAV</v>
          </cell>
          <cell r="H710">
            <v>9.99</v>
          </cell>
          <cell r="I710">
            <v>0</v>
          </cell>
        </row>
        <row r="711">
          <cell r="B711" t="str">
            <v>0201743218442</v>
          </cell>
          <cell r="C711" t="str">
            <v>FORK IN THE ROAD 1stED</v>
          </cell>
          <cell r="D711" t="str">
            <v>R</v>
          </cell>
          <cell r="E711" t="str">
            <v>PB</v>
          </cell>
          <cell r="F711" t="str">
            <v>Oseland, James ; Coren, Giles ; Day-Lewis, Tamasin</v>
          </cell>
          <cell r="G711" t="str">
            <v>COOK</v>
          </cell>
          <cell r="H711">
            <v>4.99</v>
          </cell>
          <cell r="I711">
            <v>447</v>
          </cell>
        </row>
        <row r="712">
          <cell r="B712" t="str">
            <v>0201743218459</v>
          </cell>
          <cell r="C712" t="str">
            <v>CALM 1stED</v>
          </cell>
          <cell r="D712" t="str">
            <v>R</v>
          </cell>
          <cell r="E712" t="str">
            <v>PB</v>
          </cell>
          <cell r="F712" t="str">
            <v>Ashby, Johanna ; Leviton, Alex</v>
          </cell>
          <cell r="G712" t="str">
            <v>SELF</v>
          </cell>
          <cell r="H712">
            <v>5.25</v>
          </cell>
          <cell r="I712">
            <v>0</v>
          </cell>
        </row>
        <row r="713">
          <cell r="B713" t="str">
            <v>0201743218466</v>
          </cell>
          <cell r="C713" t="str">
            <v>TONY WHEELER'S DARK LANDS 1stE</v>
          </cell>
          <cell r="D713" t="str">
            <v>R</v>
          </cell>
          <cell r="E713" t="str">
            <v>PB</v>
          </cell>
          <cell r="F713" t="str">
            <v>Wheeler, Tony</v>
          </cell>
          <cell r="G713" t="str">
            <v>TRAV</v>
          </cell>
          <cell r="H713">
            <v>4.99</v>
          </cell>
          <cell r="I713">
            <v>504</v>
          </cell>
        </row>
        <row r="714">
          <cell r="B714" t="str">
            <v>0201743219081</v>
          </cell>
          <cell r="C714" t="str">
            <v>NOT FOR PARENTS HOW TO BE A DI</v>
          </cell>
          <cell r="D714" t="str">
            <v>R</v>
          </cell>
          <cell r="E714" t="str">
            <v>CL</v>
          </cell>
          <cell r="F714" t="str">
            <v>Forbes, Scott</v>
          </cell>
          <cell r="G714" t="str">
            <v>CHIL</v>
          </cell>
          <cell r="H714">
            <v>4.99</v>
          </cell>
          <cell r="I714">
            <v>0</v>
          </cell>
        </row>
        <row r="715">
          <cell r="B715" t="str">
            <v>0201743219104</v>
          </cell>
          <cell r="C715" t="str">
            <v>NOT FOR PARENTS ASIA 1stED</v>
          </cell>
          <cell r="D715" t="str">
            <v>R</v>
          </cell>
          <cell r="E715" t="str">
            <v>PB</v>
          </cell>
          <cell r="F715" t="str">
            <v>Hynes, Margaret</v>
          </cell>
          <cell r="G715" t="str">
            <v>CHIL</v>
          </cell>
          <cell r="H715">
            <v>3.99</v>
          </cell>
          <cell r="I715">
            <v>431</v>
          </cell>
        </row>
        <row r="716">
          <cell r="B716" t="str">
            <v>0201743219142</v>
          </cell>
          <cell r="C716" t="str">
            <v>NOT FOR PARENTS EUROPE 1stED</v>
          </cell>
          <cell r="D716" t="str">
            <v>R</v>
          </cell>
          <cell r="E716" t="str">
            <v>PB</v>
          </cell>
          <cell r="F716" t="str">
            <v>Gifford, Clive</v>
          </cell>
          <cell r="G716" t="str">
            <v>CHIL</v>
          </cell>
          <cell r="H716">
            <v>3.99</v>
          </cell>
          <cell r="I716">
            <v>200</v>
          </cell>
        </row>
        <row r="717">
          <cell r="B717" t="str">
            <v>0201743219166</v>
          </cell>
          <cell r="C717" t="str">
            <v>NOT FOR PARENTS SOUTH AMERICA </v>
          </cell>
          <cell r="D717" t="str">
            <v>R</v>
          </cell>
          <cell r="E717" t="str">
            <v>PB</v>
          </cell>
          <cell r="G717" t="str">
            <v>CHIL</v>
          </cell>
          <cell r="H717">
            <v>3.99</v>
          </cell>
          <cell r="I717">
            <v>127</v>
          </cell>
        </row>
        <row r="718">
          <cell r="B718" t="str">
            <v>0201743219180</v>
          </cell>
          <cell r="C718" t="str">
            <v>WORLD SEARCH - BUSY PLACES 1st</v>
          </cell>
          <cell r="D718" t="str">
            <v>R</v>
          </cell>
          <cell r="E718" t="str">
            <v>CL</v>
          </cell>
          <cell r="F718" t="str">
            <v>Planet, Lonely</v>
          </cell>
          <cell r="G718" t="str">
            <v>CHAA</v>
          </cell>
          <cell r="H718">
            <v>5</v>
          </cell>
          <cell r="I718">
            <v>0</v>
          </cell>
        </row>
        <row r="719">
          <cell r="B719" t="str">
            <v>0201743219203</v>
          </cell>
          <cell r="C719" t="str">
            <v>WORLD SEARCH - AMAZING JOBS 1s</v>
          </cell>
          <cell r="D719" t="str">
            <v>R</v>
          </cell>
          <cell r="E719" t="str">
            <v>CL</v>
          </cell>
          <cell r="F719" t="str">
            <v>Planet, Lonely</v>
          </cell>
          <cell r="G719" t="str">
            <v>CHAA</v>
          </cell>
          <cell r="H719">
            <v>4.99</v>
          </cell>
          <cell r="I719">
            <v>0</v>
          </cell>
        </row>
        <row r="720">
          <cell r="B720" t="str">
            <v>0201743219227</v>
          </cell>
          <cell r="C720" t="str">
            <v>WORLD SEARCH - INCREDIBLE ANIM</v>
          </cell>
          <cell r="D720" t="str">
            <v>R</v>
          </cell>
          <cell r="E720" t="str">
            <v>CL</v>
          </cell>
          <cell r="F720" t="str">
            <v>Planet, Lonely</v>
          </cell>
          <cell r="G720" t="str">
            <v>CHAA</v>
          </cell>
          <cell r="H720">
            <v>5</v>
          </cell>
          <cell r="I720">
            <v>0</v>
          </cell>
        </row>
        <row r="721">
          <cell r="B721" t="str">
            <v>0201743219494</v>
          </cell>
          <cell r="C721" t="str">
            <v>FOOD BOOK MINI 1stED</v>
          </cell>
          <cell r="D721" t="str">
            <v>R</v>
          </cell>
          <cell r="E721" t="str">
            <v>CL</v>
          </cell>
          <cell r="F721" t="str">
            <v>Gourlay, Will ; Waterson, Luke ; Ranger, Helen</v>
          </cell>
          <cell r="G721" t="str">
            <v>COOK</v>
          </cell>
          <cell r="H721">
            <v>6.99</v>
          </cell>
          <cell r="I721">
            <v>230</v>
          </cell>
        </row>
        <row r="722">
          <cell r="B722" t="str">
            <v>0201743219999</v>
          </cell>
          <cell r="C722" t="str">
            <v>INSTANT EXPERT 1stED</v>
          </cell>
          <cell r="D722" t="str">
            <v>R</v>
          </cell>
          <cell r="E722" t="str">
            <v>CL</v>
          </cell>
          <cell r="F722" t="str">
            <v>Holmes, Nigel</v>
          </cell>
          <cell r="G722" t="str">
            <v>HUM</v>
          </cell>
          <cell r="H722">
            <v>5.99</v>
          </cell>
          <cell r="I722">
            <v>164</v>
          </cell>
        </row>
        <row r="723">
          <cell r="B723" t="str">
            <v>0201743601640</v>
          </cell>
          <cell r="C723" t="str">
            <v>YOU ONLY LIVE ONCE 1stED</v>
          </cell>
          <cell r="D723" t="str">
            <v>R</v>
          </cell>
          <cell r="E723" t="str">
            <v>CL</v>
          </cell>
          <cell r="G723" t="str">
            <v>TRAV</v>
          </cell>
          <cell r="H723">
            <v>7.99</v>
          </cell>
          <cell r="I723">
            <v>250</v>
          </cell>
        </row>
        <row r="724">
          <cell r="B724" t="str">
            <v>0201743604344</v>
          </cell>
          <cell r="C724" t="str">
            <v>HOW TO BE A SPACE EXPLORER 1st</v>
          </cell>
          <cell r="D724" t="str">
            <v>R</v>
          </cell>
          <cell r="E724" t="str">
            <v>CL</v>
          </cell>
          <cell r="F724" t="str">
            <v>Kids, Lonely Planet</v>
          </cell>
          <cell r="G724" t="str">
            <v>CHIL</v>
          </cell>
          <cell r="H724">
            <v>4.99</v>
          </cell>
          <cell r="I724">
            <v>0</v>
          </cell>
        </row>
        <row r="725">
          <cell r="B725" t="str">
            <v>0201743604627</v>
          </cell>
          <cell r="C725" t="str">
            <v>ULTIMATE SIGNSPOTTING 1stED</v>
          </cell>
          <cell r="D725" t="str">
            <v>R</v>
          </cell>
          <cell r="E725" t="str">
            <v>PB</v>
          </cell>
          <cell r="F725" t="str">
            <v>Lansky, Doug</v>
          </cell>
          <cell r="G725" t="str">
            <v>HUM</v>
          </cell>
          <cell r="H725">
            <v>2.99</v>
          </cell>
          <cell r="I725">
            <v>447</v>
          </cell>
        </row>
        <row r="726">
          <cell r="B726" t="str">
            <v>0201743606973</v>
          </cell>
          <cell r="C726" t="str">
            <v>MAKE MY DAY LONDON 1stED</v>
          </cell>
          <cell r="D726" t="str">
            <v>R</v>
          </cell>
          <cell r="E726" t="str">
            <v>SB</v>
          </cell>
          <cell r="G726" t="str">
            <v>TRAV</v>
          </cell>
          <cell r="H726">
            <v>3.5</v>
          </cell>
          <cell r="I726">
            <v>40</v>
          </cell>
        </row>
        <row r="727">
          <cell r="B727" t="str">
            <v>0201743606980</v>
          </cell>
          <cell r="C727" t="str">
            <v>MAKE MY DAY PARIS 1stED</v>
          </cell>
          <cell r="D727" t="str">
            <v>R</v>
          </cell>
          <cell r="E727" t="str">
            <v>SB</v>
          </cell>
          <cell r="G727" t="str">
            <v>TRAV</v>
          </cell>
          <cell r="H727">
            <v>3.5</v>
          </cell>
          <cell r="I727">
            <v>60</v>
          </cell>
        </row>
        <row r="728">
          <cell r="B728" t="str">
            <v>0201743606997</v>
          </cell>
          <cell r="C728" t="str">
            <v>MAKE MY DAY SAN FRANCISCO 1stE</v>
          </cell>
          <cell r="D728" t="str">
            <v>R</v>
          </cell>
          <cell r="E728" t="str">
            <v>SB</v>
          </cell>
          <cell r="G728" t="str">
            <v>TRAV</v>
          </cell>
          <cell r="H728">
            <v>3.5</v>
          </cell>
          <cell r="I728">
            <v>410</v>
          </cell>
        </row>
        <row r="729">
          <cell r="B729" t="str">
            <v>0201743607000</v>
          </cell>
          <cell r="C729" t="str">
            <v>MAKE MY DAY BARCELONA 1stED</v>
          </cell>
          <cell r="D729" t="str">
            <v>R</v>
          </cell>
          <cell r="E729" t="str">
            <v>SB</v>
          </cell>
          <cell r="G729" t="str">
            <v>TRAV</v>
          </cell>
          <cell r="H729">
            <v>3.5</v>
          </cell>
          <cell r="I729">
            <v>340</v>
          </cell>
        </row>
        <row r="730">
          <cell r="B730" t="str">
            <v>0201743607017</v>
          </cell>
          <cell r="C730" t="str">
            <v>MAKE MY DAY TOKYO 1stED</v>
          </cell>
          <cell r="D730" t="str">
            <v>R</v>
          </cell>
          <cell r="E730" t="str">
            <v>SB</v>
          </cell>
          <cell r="G730" t="str">
            <v>TRAV</v>
          </cell>
          <cell r="H730">
            <v>3.5</v>
          </cell>
          <cell r="I730">
            <v>160</v>
          </cell>
        </row>
        <row r="731">
          <cell r="B731" t="str">
            <v>0201743607468</v>
          </cell>
          <cell r="C731" t="str">
            <v>WORLD'S BEST BRUNCHES 1stED</v>
          </cell>
          <cell r="D731" t="str">
            <v>R</v>
          </cell>
          <cell r="E731" t="str">
            <v>PB</v>
          </cell>
          <cell r="G731" t="str">
            <v>COOK</v>
          </cell>
          <cell r="H731">
            <v>5.99</v>
          </cell>
          <cell r="I731">
            <v>0</v>
          </cell>
        </row>
        <row r="732">
          <cell r="B732" t="str">
            <v>0201743607482</v>
          </cell>
          <cell r="C732" t="str">
            <v>LONELY PLANET'S WILD WORLD 1st</v>
          </cell>
          <cell r="D732" t="str">
            <v>R</v>
          </cell>
          <cell r="E732" t="str">
            <v>CL</v>
          </cell>
          <cell r="G732" t="str">
            <v>TRAV</v>
          </cell>
          <cell r="H732">
            <v>9.99</v>
          </cell>
          <cell r="I732">
            <v>3257</v>
          </cell>
        </row>
        <row r="733">
          <cell r="B733" t="str">
            <v>0201743607581</v>
          </cell>
          <cell r="C733" t="str">
            <v>LONELY PLANET'S BEST EVER VIDE</v>
          </cell>
          <cell r="D733" t="str">
            <v>R</v>
          </cell>
          <cell r="E733" t="str">
            <v>PB</v>
          </cell>
          <cell r="G733" t="str">
            <v>PHOT</v>
          </cell>
          <cell r="H733">
            <v>2.99</v>
          </cell>
          <cell r="I733">
            <v>479</v>
          </cell>
        </row>
        <row r="734">
          <cell r="B734" t="str">
            <v>0201743607598</v>
          </cell>
          <cell r="C734" t="str">
            <v>CALM (MINI EDITION) 1stED</v>
          </cell>
          <cell r="D734" t="str">
            <v>R</v>
          </cell>
          <cell r="E734" t="str">
            <v>CL</v>
          </cell>
          <cell r="G734" t="str">
            <v>SELF</v>
          </cell>
          <cell r="H734">
            <v>1.99</v>
          </cell>
          <cell r="I734">
            <v>239</v>
          </cell>
        </row>
        <row r="735">
          <cell r="B735" t="str">
            <v>0201743607611</v>
          </cell>
          <cell r="C735" t="str">
            <v>FROM THE SOURCE - ITALY 1stED</v>
          </cell>
          <cell r="D735" t="str">
            <v>R</v>
          </cell>
          <cell r="E735" t="str">
            <v>CL</v>
          </cell>
          <cell r="G735" t="str">
            <v>COOK</v>
          </cell>
          <cell r="H735">
            <v>6.99</v>
          </cell>
          <cell r="I735">
            <v>0</v>
          </cell>
        </row>
        <row r="736">
          <cell r="B736" t="str">
            <v>0201743607635</v>
          </cell>
          <cell r="C736" t="str">
            <v>FROM THE SOURCE - THAILAND 1st</v>
          </cell>
          <cell r="D736" t="str">
            <v>R</v>
          </cell>
          <cell r="E736" t="str">
            <v>CL</v>
          </cell>
          <cell r="G736" t="str">
            <v>COOK</v>
          </cell>
          <cell r="H736">
            <v>6.99</v>
          </cell>
          <cell r="I736">
            <v>0</v>
          </cell>
        </row>
        <row r="737">
          <cell r="B737" t="str">
            <v>0201743607673</v>
          </cell>
          <cell r="C737" t="str">
            <v>TRAVEL JOURNAL 1stED</v>
          </cell>
          <cell r="D737" t="str">
            <v>R</v>
          </cell>
          <cell r="E737" t="str">
            <v>JN</v>
          </cell>
          <cell r="G737" t="str">
            <v>REF</v>
          </cell>
          <cell r="H737">
            <v>4.99</v>
          </cell>
          <cell r="I737">
            <v>1841</v>
          </cell>
        </row>
        <row r="738">
          <cell r="B738" t="str">
            <v>0201743607802</v>
          </cell>
          <cell r="C738" t="str">
            <v>ADVENTURES IN NOISY PLACES 1st</v>
          </cell>
          <cell r="D738" t="str">
            <v>R</v>
          </cell>
          <cell r="E738" t="str">
            <v>PB</v>
          </cell>
          <cell r="G738" t="str">
            <v>CHAA</v>
          </cell>
          <cell r="H738">
            <v>2.99</v>
          </cell>
          <cell r="I738">
            <v>0</v>
          </cell>
        </row>
        <row r="739">
          <cell r="B739" t="str">
            <v>0201743607819</v>
          </cell>
          <cell r="C739" t="str">
            <v>ADVENTURES IN SMELLY PLACES 1s</v>
          </cell>
          <cell r="D739" t="str">
            <v>R</v>
          </cell>
          <cell r="E739" t="str">
            <v>PB</v>
          </cell>
          <cell r="G739" t="str">
            <v>HUM</v>
          </cell>
          <cell r="H739">
            <v>2.99</v>
          </cell>
          <cell r="I739">
            <v>0</v>
          </cell>
        </row>
        <row r="740">
          <cell r="B740" t="str">
            <v>0201743607840</v>
          </cell>
          <cell r="C740" t="str">
            <v>YOU RULE! 1stED</v>
          </cell>
          <cell r="D740" t="str">
            <v>R</v>
          </cell>
          <cell r="E740" t="str">
            <v>CL</v>
          </cell>
          <cell r="G740" t="str">
            <v>CHIL</v>
          </cell>
          <cell r="H740">
            <v>3.99</v>
          </cell>
          <cell r="I740">
            <v>276</v>
          </cell>
        </row>
        <row r="741">
          <cell r="B741" t="str">
            <v>0201743609288</v>
          </cell>
          <cell r="C741" t="str">
            <v>MAKE MY DAY ROME 1stED</v>
          </cell>
          <cell r="D741" t="str">
            <v>R</v>
          </cell>
          <cell r="E741" t="str">
            <v>SB</v>
          </cell>
          <cell r="G741" t="str">
            <v>TRAV</v>
          </cell>
          <cell r="H741">
            <v>3.5</v>
          </cell>
          <cell r="I741">
            <v>160</v>
          </cell>
        </row>
        <row r="742">
          <cell r="B742" t="str">
            <v>0201743609301</v>
          </cell>
          <cell r="C742" t="str">
            <v>MAKE MY DAY BERLIN 1stED</v>
          </cell>
          <cell r="D742" t="str">
            <v>R</v>
          </cell>
          <cell r="E742" t="str">
            <v>SB</v>
          </cell>
          <cell r="G742" t="str">
            <v>TRAV</v>
          </cell>
          <cell r="H742">
            <v>3.5</v>
          </cell>
          <cell r="I742">
            <v>240</v>
          </cell>
        </row>
        <row r="743">
          <cell r="B743" t="str">
            <v>0201743609325</v>
          </cell>
          <cell r="C743" t="str">
            <v>MAKE MY DAY SYDNEY 1stED</v>
          </cell>
          <cell r="D743" t="str">
            <v>R</v>
          </cell>
          <cell r="E743" t="str">
            <v>SB</v>
          </cell>
          <cell r="G743" t="str">
            <v>TRAV</v>
          </cell>
          <cell r="H743">
            <v>3.5</v>
          </cell>
          <cell r="I743">
            <v>310</v>
          </cell>
        </row>
        <row r="744">
          <cell r="B744" t="str">
            <v>0201743609349</v>
          </cell>
          <cell r="C744" t="str">
            <v>MAKE MY DAY HONG KONG 1stED</v>
          </cell>
          <cell r="D744" t="str">
            <v>R</v>
          </cell>
          <cell r="E744" t="str">
            <v>SB</v>
          </cell>
          <cell r="G744" t="str">
            <v>TRAV</v>
          </cell>
          <cell r="H744">
            <v>3.5</v>
          </cell>
          <cell r="I744">
            <v>60</v>
          </cell>
        </row>
        <row r="745">
          <cell r="B745" t="str">
            <v>0201743790115</v>
          </cell>
          <cell r="C745" t="str">
            <v>HARVEST</v>
          </cell>
          <cell r="D745" t="str">
            <v>R</v>
          </cell>
          <cell r="E745" t="str">
            <v>CL</v>
          </cell>
          <cell r="F745" t="str">
            <v>Guelpa, Emilie</v>
          </cell>
          <cell r="G745" t="str">
            <v>COOK</v>
          </cell>
          <cell r="H745">
            <v>7</v>
          </cell>
          <cell r="I745">
            <v>440</v>
          </cell>
        </row>
        <row r="746">
          <cell r="B746" t="str">
            <v>0201743790184</v>
          </cell>
          <cell r="C746" t="str">
            <v>COOK'S TOUR OF FRANCE</v>
          </cell>
          <cell r="D746" t="str">
            <v>R</v>
          </cell>
          <cell r="E746" t="str">
            <v>CL</v>
          </cell>
          <cell r="F746" t="str">
            <v>Gate, Gabriel</v>
          </cell>
          <cell r="G746" t="str">
            <v>COOK</v>
          </cell>
          <cell r="H746">
            <v>10.5</v>
          </cell>
          <cell r="I746">
            <v>0</v>
          </cell>
        </row>
        <row r="747">
          <cell r="B747" t="str">
            <v>0201743791297</v>
          </cell>
          <cell r="C747" t="str">
            <v>ALIMENTARI</v>
          </cell>
          <cell r="D747" t="str">
            <v>R</v>
          </cell>
          <cell r="E747" t="str">
            <v>CL</v>
          </cell>
          <cell r="F747" t="str">
            <v>Jones, Linda</v>
          </cell>
          <cell r="G747" t="str">
            <v>COOK</v>
          </cell>
          <cell r="H747">
            <v>10.5</v>
          </cell>
          <cell r="I747">
            <v>0</v>
          </cell>
        </row>
        <row r="748">
          <cell r="B748" t="str">
            <v>0201743791334</v>
          </cell>
          <cell r="C748" t="str">
            <v>PIE PROJECT</v>
          </cell>
          <cell r="D748" t="str">
            <v>R</v>
          </cell>
          <cell r="E748" t="str">
            <v>CL</v>
          </cell>
          <cell r="F748" t="str">
            <v>Wood, Pheobe ; Jenkins, Kirsten</v>
          </cell>
          <cell r="G748" t="str">
            <v>COOK</v>
          </cell>
          <cell r="H748">
            <v>9</v>
          </cell>
          <cell r="I748">
            <v>0</v>
          </cell>
        </row>
        <row r="749">
          <cell r="B749" t="str">
            <v>0201743791389</v>
          </cell>
          <cell r="C749" t="str">
            <v>CARE PACKAGES</v>
          </cell>
          <cell r="D749" t="str">
            <v>R</v>
          </cell>
          <cell r="E749" t="str">
            <v>CL</v>
          </cell>
          <cell r="F749" t="str">
            <v>Mackintosh, Michelle</v>
          </cell>
          <cell r="G749" t="str">
            <v>CRAF</v>
          </cell>
          <cell r="H749">
            <v>9</v>
          </cell>
          <cell r="I749">
            <v>80</v>
          </cell>
        </row>
        <row r="750">
          <cell r="B750" t="str">
            <v>0201743791440</v>
          </cell>
          <cell r="C750" t="str">
            <v>NORDIC LIGHT</v>
          </cell>
          <cell r="D750" t="str">
            <v>R</v>
          </cell>
          <cell r="E750" t="str">
            <v>CL</v>
          </cell>
          <cell r="F750" t="str">
            <v>Bajada, Simon</v>
          </cell>
          <cell r="G750" t="str">
            <v>COOK</v>
          </cell>
          <cell r="H750">
            <v>11.99</v>
          </cell>
          <cell r="I750">
            <v>0</v>
          </cell>
        </row>
        <row r="751">
          <cell r="B751" t="str">
            <v>0201743791556</v>
          </cell>
          <cell r="C751" t="str">
            <v>WALK TALL</v>
          </cell>
          <cell r="D751" t="str">
            <v>R</v>
          </cell>
          <cell r="E751" t="str">
            <v>CL</v>
          </cell>
          <cell r="F751" t="str">
            <v>Gunn, Anthony</v>
          </cell>
          <cell r="G751" t="str">
            <v>PHILO</v>
          </cell>
          <cell r="H751">
            <v>4.99</v>
          </cell>
          <cell r="I751">
            <v>240</v>
          </cell>
        </row>
        <row r="752">
          <cell r="B752" t="str">
            <v>0201743791747</v>
          </cell>
          <cell r="C752" t="str">
            <v>SHANNON BENNETT'S LONDON</v>
          </cell>
          <cell r="D752" t="str">
            <v>R</v>
          </cell>
          <cell r="E752" t="str">
            <v>CL</v>
          </cell>
          <cell r="F752" t="str">
            <v>Bennett, Shannon ; Murray, Scott</v>
          </cell>
          <cell r="G752" t="str">
            <v>COOK</v>
          </cell>
          <cell r="H752">
            <v>9.99</v>
          </cell>
          <cell r="I752">
            <v>80</v>
          </cell>
        </row>
        <row r="753">
          <cell r="B753" t="str">
            <v>0201743791884</v>
          </cell>
          <cell r="C753" t="str">
            <v>BRAIN-SCIENCE</v>
          </cell>
          <cell r="D753" t="str">
            <v>R</v>
          </cell>
          <cell r="E753" t="str">
            <v>PB</v>
          </cell>
          <cell r="F753" t="str">
            <v>Rodski, Stan</v>
          </cell>
          <cell r="G753" t="str">
            <v>SPOR</v>
          </cell>
          <cell r="H753">
            <v>4.99</v>
          </cell>
          <cell r="I753">
            <v>600</v>
          </cell>
        </row>
        <row r="754">
          <cell r="B754" t="str">
            <v>0201743791891</v>
          </cell>
          <cell r="C754" t="str">
            <v>MODERN MEDITATION</v>
          </cell>
          <cell r="D754" t="str">
            <v>R</v>
          </cell>
          <cell r="E754" t="str">
            <v>PB</v>
          </cell>
          <cell r="F754" t="str">
            <v>Rodski, Stan</v>
          </cell>
          <cell r="G754" t="str">
            <v>SPOR</v>
          </cell>
          <cell r="H754">
            <v>6</v>
          </cell>
          <cell r="I754">
            <v>360</v>
          </cell>
        </row>
        <row r="755">
          <cell r="B755" t="str">
            <v>0201743792089</v>
          </cell>
          <cell r="C755" t="str">
            <v>EAT THIS, MY FRIEND</v>
          </cell>
          <cell r="D755" t="str">
            <v>R</v>
          </cell>
          <cell r="E755" t="str">
            <v>CL</v>
          </cell>
          <cell r="F755" t="str">
            <v>O'Donahoo, Jade</v>
          </cell>
          <cell r="G755" t="str">
            <v>COOK</v>
          </cell>
          <cell r="H755">
            <v>5.99</v>
          </cell>
          <cell r="I755">
            <v>100</v>
          </cell>
        </row>
        <row r="756">
          <cell r="B756" t="str">
            <v>0201743792546</v>
          </cell>
          <cell r="C756" t="str">
            <v>PANA CHOCOLATE, THE RECIPES</v>
          </cell>
          <cell r="D756" t="str">
            <v>R</v>
          </cell>
          <cell r="E756" t="str">
            <v>CL</v>
          </cell>
          <cell r="F756" t="str">
            <v>Barbounis, Pana</v>
          </cell>
          <cell r="G756" t="str">
            <v>COOK</v>
          </cell>
          <cell r="H756">
            <v>6.99</v>
          </cell>
          <cell r="I756">
            <v>192</v>
          </cell>
        </row>
        <row r="757">
          <cell r="B757" t="str">
            <v>0201743792737</v>
          </cell>
          <cell r="C757" t="str">
            <v>MEN IN THIS TOWN</v>
          </cell>
          <cell r="D757" t="str">
            <v>R</v>
          </cell>
          <cell r="E757" t="str">
            <v>CL</v>
          </cell>
          <cell r="F757" t="str">
            <v>Santamaria, Giuseppe</v>
          </cell>
          <cell r="G757" t="str">
            <v>ARTS</v>
          </cell>
          <cell r="H757">
            <v>7</v>
          </cell>
          <cell r="I757">
            <v>100</v>
          </cell>
        </row>
        <row r="758">
          <cell r="B758" t="str">
            <v>0201770460937</v>
          </cell>
          <cell r="C758" t="str">
            <v>NIPPER 1967-1968</v>
          </cell>
          <cell r="D758" t="str">
            <v>R</v>
          </cell>
          <cell r="E758" t="str">
            <v>PB</v>
          </cell>
          <cell r="F758" t="str">
            <v>Wright, Doug</v>
          </cell>
          <cell r="G758" t="str">
            <v>COMI</v>
          </cell>
          <cell r="H758">
            <v>4.25</v>
          </cell>
          <cell r="I758">
            <v>0</v>
          </cell>
        </row>
        <row r="759">
          <cell r="B759" t="str">
            <v>0201780670142</v>
          </cell>
          <cell r="C759" t="str">
            <v>THIS IS WARHOL</v>
          </cell>
          <cell r="D759" t="str">
            <v>R</v>
          </cell>
          <cell r="E759" t="str">
            <v>CL</v>
          </cell>
          <cell r="F759" t="str">
            <v>Ingram, Catherine ; Rae, Andrew</v>
          </cell>
          <cell r="G759" t="str">
            <v>ARTS</v>
          </cell>
          <cell r="H759">
            <v>5.49</v>
          </cell>
          <cell r="I759">
            <v>0</v>
          </cell>
        </row>
        <row r="760">
          <cell r="B760" t="str">
            <v>0201780670173</v>
          </cell>
          <cell r="C760" t="str">
            <v>STICKER FASHIONISTA</v>
          </cell>
          <cell r="D760" t="str">
            <v>R</v>
          </cell>
          <cell r="E760" t="str">
            <v>PB</v>
          </cell>
          <cell r="F760" t="str">
            <v>Smith, Kelly</v>
          </cell>
          <cell r="G760" t="str">
            <v>CHIL</v>
          </cell>
          <cell r="H760">
            <v>4.49</v>
          </cell>
          <cell r="I760">
            <v>0</v>
          </cell>
        </row>
        <row r="761">
          <cell r="B761" t="str">
            <v>0201780670210</v>
          </cell>
          <cell r="C761" t="str">
            <v>100 YEARS OF MENSWEAR</v>
          </cell>
          <cell r="D761" t="str">
            <v>R</v>
          </cell>
          <cell r="E761" t="str">
            <v>PB</v>
          </cell>
          <cell r="F761" t="str">
            <v>Blackman, Cally</v>
          </cell>
          <cell r="G761" t="str">
            <v>DESI</v>
          </cell>
          <cell r="H761">
            <v>6.99</v>
          </cell>
          <cell r="I761">
            <v>0</v>
          </cell>
        </row>
        <row r="762">
          <cell r="B762" t="str">
            <v>0201780671057</v>
          </cell>
          <cell r="C762" t="str">
            <v>PARIS SKETCHBOOK</v>
          </cell>
          <cell r="D762" t="str">
            <v>R</v>
          </cell>
          <cell r="E762" t="str">
            <v>CL</v>
          </cell>
          <cell r="F762" t="str">
            <v>Brooks, Jason</v>
          </cell>
          <cell r="G762" t="str">
            <v>ARTS</v>
          </cell>
          <cell r="H762">
            <v>8.49</v>
          </cell>
          <cell r="I762">
            <v>0</v>
          </cell>
        </row>
        <row r="763">
          <cell r="B763" t="str">
            <v>0201780671132</v>
          </cell>
          <cell r="C763" t="str">
            <v>STICKER FASHIONISTA</v>
          </cell>
          <cell r="D763" t="str">
            <v>R</v>
          </cell>
          <cell r="E763" t="str">
            <v>PB</v>
          </cell>
          <cell r="F763" t="str">
            <v>Smith, Kelly</v>
          </cell>
          <cell r="G763" t="str">
            <v>CHIL</v>
          </cell>
          <cell r="H763">
            <v>3.74</v>
          </cell>
          <cell r="I763">
            <v>0</v>
          </cell>
        </row>
        <row r="764">
          <cell r="B764" t="str">
            <v>0201780671224</v>
          </cell>
          <cell r="C764" t="str">
            <v>TOTE BAG</v>
          </cell>
          <cell r="D764" t="str">
            <v>R</v>
          </cell>
          <cell r="E764" t="str">
            <v>PB</v>
          </cell>
          <cell r="F764" t="str">
            <v>Patel, Jitesh</v>
          </cell>
          <cell r="G764" t="str">
            <v>DESI</v>
          </cell>
          <cell r="H764">
            <v>4.99</v>
          </cell>
          <cell r="I764">
            <v>0</v>
          </cell>
        </row>
        <row r="765">
          <cell r="B765" t="str">
            <v>0201780671668</v>
          </cell>
          <cell r="C765" t="str">
            <v>VINTAGE KNIT</v>
          </cell>
          <cell r="D765" t="str">
            <v>R</v>
          </cell>
          <cell r="E765" t="str">
            <v>CL</v>
          </cell>
          <cell r="F765" t="str">
            <v>Warner, Geraldine ; Malak, Marine</v>
          </cell>
          <cell r="G765" t="str">
            <v>CRAF</v>
          </cell>
          <cell r="H765">
            <v>8.99</v>
          </cell>
          <cell r="I765">
            <v>0</v>
          </cell>
        </row>
        <row r="766">
          <cell r="B766" t="str">
            <v>0201780671828</v>
          </cell>
          <cell r="C766" t="str">
            <v>SEWISTS</v>
          </cell>
          <cell r="D766" t="str">
            <v>R</v>
          </cell>
          <cell r="E766" t="str">
            <v>PB</v>
          </cell>
          <cell r="F766" t="str">
            <v>Perry, Josephine</v>
          </cell>
          <cell r="G766" t="str">
            <v>CRAF</v>
          </cell>
          <cell r="H766">
            <v>5.99</v>
          </cell>
          <cell r="I766">
            <v>153</v>
          </cell>
        </row>
        <row r="767">
          <cell r="B767" t="str">
            <v>0201780671835</v>
          </cell>
          <cell r="C767" t="str">
            <v>STICKERBOMB SKULLS</v>
          </cell>
          <cell r="D767" t="str">
            <v>R</v>
          </cell>
          <cell r="E767" t="str">
            <v>PB</v>
          </cell>
          <cell r="F767" t="str">
            <v>Studio Rarekwai (SRK)</v>
          </cell>
          <cell r="G767" t="str">
            <v>ARTS</v>
          </cell>
          <cell r="H767">
            <v>6.99</v>
          </cell>
          <cell r="I767">
            <v>40</v>
          </cell>
        </row>
        <row r="768">
          <cell r="B768" t="str">
            <v>0201780671859</v>
          </cell>
          <cell r="C768" t="str">
            <v>THIS IS BACON</v>
          </cell>
          <cell r="D768" t="str">
            <v>R</v>
          </cell>
          <cell r="E768" t="str">
            <v>CL</v>
          </cell>
          <cell r="F768" t="str">
            <v>Hauser, Kitty ; Christoforou, Christina ; Ingram, Catherine</v>
          </cell>
          <cell r="G768" t="str">
            <v>ARTS</v>
          </cell>
          <cell r="H768">
            <v>4.99</v>
          </cell>
          <cell r="I768">
            <v>147</v>
          </cell>
        </row>
        <row r="769">
          <cell r="B769" t="str">
            <v>0201780671897</v>
          </cell>
          <cell r="C769" t="str">
            <v>THIS IS GAUGUIN</v>
          </cell>
          <cell r="D769" t="str">
            <v>R</v>
          </cell>
          <cell r="E769" t="str">
            <v>CL</v>
          </cell>
          <cell r="F769" t="str">
            <v>Roddam, George ; Harasymowicz, Slawa ; Ingram, Catherine</v>
          </cell>
          <cell r="G769" t="str">
            <v>ARTS</v>
          </cell>
          <cell r="H769">
            <v>3.99</v>
          </cell>
          <cell r="I769">
            <v>182</v>
          </cell>
        </row>
        <row r="770">
          <cell r="B770" t="str">
            <v>0201780672290</v>
          </cell>
          <cell r="C770" t="str">
            <v>CASUAL SWEET CLOTHES</v>
          </cell>
          <cell r="D770" t="str">
            <v>R</v>
          </cell>
          <cell r="E770" t="str">
            <v>PB</v>
          </cell>
          <cell r="F770" t="str">
            <v>Sasahara, Noriko</v>
          </cell>
          <cell r="G770" t="str">
            <v>DESI</v>
          </cell>
          <cell r="H770">
            <v>6.99</v>
          </cell>
          <cell r="I770">
            <v>0</v>
          </cell>
        </row>
        <row r="771">
          <cell r="B771" t="str">
            <v>0201780672795</v>
          </cell>
          <cell r="C771" t="str">
            <v>FIFTY YEARS OF ILLUSTRATION</v>
          </cell>
          <cell r="D771" t="str">
            <v>R</v>
          </cell>
          <cell r="E771" t="str">
            <v>CL</v>
          </cell>
          <cell r="F771" t="str">
            <v>Zeegan, Lawrence ; Roberts, Caroline</v>
          </cell>
          <cell r="G771" t="str">
            <v>DESI</v>
          </cell>
          <cell r="H771">
            <v>9.99</v>
          </cell>
          <cell r="I771">
            <v>0</v>
          </cell>
        </row>
        <row r="772">
          <cell r="B772" t="str">
            <v>0201780673075</v>
          </cell>
          <cell r="C772" t="str">
            <v>BOLD, BEAUTIFUL AND DAMNED</v>
          </cell>
          <cell r="D772">
            <v>3</v>
          </cell>
          <cell r="E772" t="str">
            <v>CL</v>
          </cell>
          <cell r="F772" t="str">
            <v>Rhys-Morgan, Dean ; Gaultier, Jean Paul ; Collins, Amy Fine</v>
          </cell>
          <cell r="G772" t="str">
            <v>DESI</v>
          </cell>
          <cell r="H772">
            <v>17.25</v>
          </cell>
          <cell r="I772">
            <v>0</v>
          </cell>
        </row>
        <row r="773">
          <cell r="B773" t="str">
            <v>0201780673204</v>
          </cell>
          <cell r="C773" t="str">
            <v>ADVERTISING FOR PEOPLE WHO DON</v>
          </cell>
          <cell r="D773" t="str">
            <v>R</v>
          </cell>
          <cell r="E773" t="str">
            <v>PB</v>
          </cell>
          <cell r="F773" t="str">
            <v>KesselsKramer</v>
          </cell>
          <cell r="G773" t="str">
            <v>DESI</v>
          </cell>
          <cell r="H773">
            <v>5.99</v>
          </cell>
          <cell r="I773">
            <v>50</v>
          </cell>
        </row>
        <row r="774">
          <cell r="B774" t="str">
            <v>0201780673228</v>
          </cell>
          <cell r="C774" t="str">
            <v>FURNITURE FOR INTERIOR DESIGN</v>
          </cell>
          <cell r="D774" t="str">
            <v>R</v>
          </cell>
          <cell r="E774" t="str">
            <v>PB</v>
          </cell>
          <cell r="F774" t="str">
            <v>Booth, Sam ; Plunkett, Drew</v>
          </cell>
          <cell r="G774" t="str">
            <v>ARCH</v>
          </cell>
          <cell r="H774">
            <v>11.99</v>
          </cell>
          <cell r="I774">
            <v>87</v>
          </cell>
        </row>
        <row r="775">
          <cell r="B775" t="str">
            <v>0201780673310</v>
          </cell>
          <cell r="C775" t="str">
            <v>BOOK OF HEARTS</v>
          </cell>
          <cell r="D775" t="str">
            <v>R</v>
          </cell>
          <cell r="E775" t="str">
            <v>PB</v>
          </cell>
          <cell r="F775" t="str">
            <v>Gavin, Francesca</v>
          </cell>
          <cell r="G775" t="str">
            <v>ARTS</v>
          </cell>
          <cell r="H775">
            <v>4.99</v>
          </cell>
          <cell r="I775">
            <v>0</v>
          </cell>
        </row>
        <row r="776">
          <cell r="B776" t="str">
            <v>0201780673365</v>
          </cell>
          <cell r="C776" t="str">
            <v>100 CLASSIC GRAPHIC DESIGN JOU</v>
          </cell>
          <cell r="D776" t="str">
            <v>R</v>
          </cell>
          <cell r="E776" t="str">
            <v>CL</v>
          </cell>
          <cell r="F776" t="str">
            <v>Heller, Steven ; Godfrey, Jason</v>
          </cell>
          <cell r="G776" t="str">
            <v>DESI</v>
          </cell>
          <cell r="H776">
            <v>12.99</v>
          </cell>
          <cell r="I776">
            <v>68</v>
          </cell>
        </row>
        <row r="777">
          <cell r="B777" t="str">
            <v>0201780673396</v>
          </cell>
          <cell r="C777" t="str">
            <v>FELT DOGS</v>
          </cell>
          <cell r="D777" t="str">
            <v>R</v>
          </cell>
          <cell r="E777" t="str">
            <v>PB</v>
          </cell>
          <cell r="F777" t="str">
            <v>Hoshi, Mitsuki</v>
          </cell>
          <cell r="G777" t="str">
            <v>CRAF</v>
          </cell>
          <cell r="H777">
            <v>4.99</v>
          </cell>
          <cell r="I777">
            <v>0</v>
          </cell>
        </row>
        <row r="778">
          <cell r="B778" t="str">
            <v>0201780673433</v>
          </cell>
          <cell r="C778" t="str">
            <v>FASHION KNITWEAR</v>
          </cell>
          <cell r="D778" t="str">
            <v>R</v>
          </cell>
          <cell r="E778" t="str">
            <v>CL</v>
          </cell>
          <cell r="F778" t="str">
            <v>Udale, Jenny</v>
          </cell>
          <cell r="G778" t="str">
            <v>DESI</v>
          </cell>
          <cell r="H778">
            <v>13.75</v>
          </cell>
          <cell r="I778">
            <v>0</v>
          </cell>
        </row>
        <row r="779">
          <cell r="B779" t="str">
            <v>0201780673457</v>
          </cell>
          <cell r="C779" t="str">
            <v>SHOETOPIA</v>
          </cell>
          <cell r="D779" t="str">
            <v>R</v>
          </cell>
          <cell r="E779" t="str">
            <v>CL</v>
          </cell>
          <cell r="F779" t="str">
            <v>Huey, Sue ; Kenny, Kathryn</v>
          </cell>
          <cell r="G779" t="str">
            <v>DESI</v>
          </cell>
          <cell r="H779">
            <v>13.75</v>
          </cell>
          <cell r="I779">
            <v>0</v>
          </cell>
        </row>
        <row r="780">
          <cell r="B780" t="str">
            <v>0201780673464</v>
          </cell>
          <cell r="C780" t="str">
            <v>THIS IS POLLOCK</v>
          </cell>
          <cell r="D780" t="str">
            <v>R</v>
          </cell>
          <cell r="E780" t="str">
            <v>CL</v>
          </cell>
          <cell r="F780" t="str">
            <v>Ingram, Catherine ; Arkle, Peter</v>
          </cell>
          <cell r="G780" t="str">
            <v>ARTS</v>
          </cell>
          <cell r="H780">
            <v>3.99</v>
          </cell>
          <cell r="I780">
            <v>0</v>
          </cell>
        </row>
        <row r="781">
          <cell r="B781" t="str">
            <v>0201780673679</v>
          </cell>
          <cell r="C781" t="str">
            <v>DIY FURNITURE 2</v>
          </cell>
          <cell r="D781" t="str">
            <v>R</v>
          </cell>
          <cell r="E781" t="str">
            <v>PB</v>
          </cell>
          <cell r="F781" t="str">
            <v>Stuart, Christopher</v>
          </cell>
          <cell r="G781" t="str">
            <v>DESI</v>
          </cell>
          <cell r="H781">
            <v>8.49</v>
          </cell>
          <cell r="I781">
            <v>0</v>
          </cell>
        </row>
        <row r="782">
          <cell r="B782" t="str">
            <v>0201780673693</v>
          </cell>
          <cell r="C782" t="str">
            <v>STUDS &amp; PEARLS</v>
          </cell>
          <cell r="D782" t="str">
            <v>R</v>
          </cell>
          <cell r="E782" t="str">
            <v>pb</v>
          </cell>
          <cell r="F782" t="str">
            <v>Nunez, Kirsten</v>
          </cell>
          <cell r="G782" t="str">
            <v>CRAF</v>
          </cell>
          <cell r="H782">
            <v>6.99</v>
          </cell>
          <cell r="I782">
            <v>0</v>
          </cell>
        </row>
        <row r="783">
          <cell r="B783" t="str">
            <v>0201780673709</v>
          </cell>
          <cell r="C783" t="str">
            <v>100 IDEAS THAT CHANGED THE WEB</v>
          </cell>
          <cell r="D783" t="str">
            <v>R</v>
          </cell>
          <cell r="E783" t="str">
            <v>PB</v>
          </cell>
          <cell r="F783" t="str">
            <v>Boulton, Jim</v>
          </cell>
          <cell r="G783" t="str">
            <v>COMP</v>
          </cell>
          <cell r="H783">
            <v>5.99</v>
          </cell>
          <cell r="I783">
            <v>129</v>
          </cell>
        </row>
        <row r="784">
          <cell r="B784" t="str">
            <v>0201780674041</v>
          </cell>
          <cell r="C784" t="str">
            <v>SEW FAB</v>
          </cell>
          <cell r="D784" t="str">
            <v>R</v>
          </cell>
          <cell r="E784" t="str">
            <v>CL</v>
          </cell>
          <cell r="F784" t="str">
            <v>Ware, Lesley</v>
          </cell>
          <cell r="G784" t="str">
            <v>CHIL</v>
          </cell>
          <cell r="H784">
            <v>5.99</v>
          </cell>
          <cell r="I784">
            <v>99</v>
          </cell>
        </row>
        <row r="785">
          <cell r="B785" t="str">
            <v>0201780674164</v>
          </cell>
          <cell r="C785" t="str">
            <v>CUT OUT AND KEEP</v>
          </cell>
          <cell r="D785" t="str">
            <v>R</v>
          </cell>
          <cell r="E785" t="str">
            <v>PB</v>
          </cell>
          <cell r="F785" t="str">
            <v>Morley, Cat</v>
          </cell>
          <cell r="G785" t="str">
            <v>CRAF</v>
          </cell>
          <cell r="H785">
            <v>8.99</v>
          </cell>
          <cell r="I785">
            <v>0</v>
          </cell>
        </row>
        <row r="786">
          <cell r="B786" t="str">
            <v>0201780674706</v>
          </cell>
          <cell r="C786" t="str">
            <v>PRINT, MAKE, WEAR</v>
          </cell>
          <cell r="D786" t="str">
            <v>R</v>
          </cell>
          <cell r="E786" t="str">
            <v>PB</v>
          </cell>
          <cell r="F786" t="str">
            <v>Bowles, Melanie</v>
          </cell>
          <cell r="G786" t="str">
            <v>DESI</v>
          </cell>
          <cell r="H786">
            <v>7.99</v>
          </cell>
          <cell r="I786">
            <v>46</v>
          </cell>
        </row>
        <row r="787">
          <cell r="B787" t="str">
            <v>0201780674720</v>
          </cell>
          <cell r="C787" t="str">
            <v>KNIT</v>
          </cell>
          <cell r="D787" t="str">
            <v>R</v>
          </cell>
          <cell r="E787" t="str">
            <v>CL</v>
          </cell>
          <cell r="F787" t="str">
            <v>Elliot, Samantha</v>
          </cell>
          <cell r="G787" t="str">
            <v>CRAF</v>
          </cell>
          <cell r="H787">
            <v>11.99</v>
          </cell>
          <cell r="I787">
            <v>48</v>
          </cell>
        </row>
        <row r="788">
          <cell r="B788" t="str">
            <v>0201780674867</v>
          </cell>
          <cell r="C788" t="str">
            <v>3D BUBBLE WRITER</v>
          </cell>
          <cell r="D788" t="str">
            <v>R</v>
          </cell>
          <cell r="E788" t="str">
            <v>PB</v>
          </cell>
          <cell r="F788" t="str">
            <v>Scott, Linda</v>
          </cell>
          <cell r="G788" t="str">
            <v>CHAA</v>
          </cell>
          <cell r="H788">
            <v>4.99</v>
          </cell>
          <cell r="I788">
            <v>92</v>
          </cell>
        </row>
        <row r="789">
          <cell r="B789" t="str">
            <v>0201780675574</v>
          </cell>
          <cell r="C789" t="str">
            <v>INFERNO</v>
          </cell>
          <cell r="D789" t="str">
            <v>R</v>
          </cell>
          <cell r="E789" t="str">
            <v>CL</v>
          </cell>
          <cell r="F789" t="str">
            <v>Rickey, Melanie ; Baker, Kent</v>
          </cell>
          <cell r="G789" t="str">
            <v>DESI</v>
          </cell>
          <cell r="H789">
            <v>11.99</v>
          </cell>
          <cell r="I789">
            <v>80</v>
          </cell>
        </row>
        <row r="790">
          <cell r="B790" t="str">
            <v>0201780675994</v>
          </cell>
          <cell r="C790" t="str">
            <v>FASHION STYLIST: FALL/WINTER C</v>
          </cell>
          <cell r="D790" t="str">
            <v>R</v>
          </cell>
          <cell r="E790" t="str">
            <v>PB</v>
          </cell>
          <cell r="F790" t="str">
            <v>Claybourne, Anna ; McCullough, Missy</v>
          </cell>
          <cell r="G790" t="str">
            <v>CHAA</v>
          </cell>
          <cell r="H790">
            <v>3.99</v>
          </cell>
          <cell r="I790">
            <v>0</v>
          </cell>
        </row>
        <row r="791">
          <cell r="B791" t="str">
            <v>0201780676007</v>
          </cell>
          <cell r="C791" t="str">
            <v>UPCYCLE</v>
          </cell>
          <cell r="D791" t="str">
            <v>R</v>
          </cell>
          <cell r="E791" t="str">
            <v>CL</v>
          </cell>
          <cell r="F791" t="str">
            <v>Proctor, Rebecca</v>
          </cell>
          <cell r="G791" t="str">
            <v>DESI</v>
          </cell>
          <cell r="H791">
            <v>8.99</v>
          </cell>
          <cell r="I791">
            <v>0</v>
          </cell>
        </row>
        <row r="792">
          <cell r="B792" t="str">
            <v>0201780676090</v>
          </cell>
          <cell r="C792" t="str">
            <v>DETAILS</v>
          </cell>
          <cell r="D792" t="str">
            <v>R</v>
          </cell>
          <cell r="E792" t="str">
            <v>PB</v>
          </cell>
          <cell r="F792" t="str">
            <v>Sims, Josh</v>
          </cell>
          <cell r="G792" t="str">
            <v>DESI</v>
          </cell>
          <cell r="H792">
            <v>7.99</v>
          </cell>
          <cell r="I792">
            <v>0</v>
          </cell>
        </row>
        <row r="793">
          <cell r="B793" t="str">
            <v>0201780676939</v>
          </cell>
          <cell r="C793" t="str">
            <v>FASHION STYLIST SPRING/SUMMER </v>
          </cell>
          <cell r="D793" t="str">
            <v>R</v>
          </cell>
          <cell r="E793" t="str">
            <v>PB</v>
          </cell>
          <cell r="F793" t="str">
            <v>Claybourne, Anna ; McCullough, Missy</v>
          </cell>
          <cell r="G793" t="str">
            <v>CHAA</v>
          </cell>
          <cell r="H793">
            <v>4.49</v>
          </cell>
          <cell r="I793">
            <v>0</v>
          </cell>
        </row>
        <row r="794">
          <cell r="B794" t="str">
            <v>0201780677356</v>
          </cell>
          <cell r="C794" t="str">
            <v>HELLO NATURE</v>
          </cell>
          <cell r="D794" t="str">
            <v>R</v>
          </cell>
          <cell r="E794" t="str">
            <v>CL</v>
          </cell>
          <cell r="F794" t="str">
            <v>Chakrabarti, Nina</v>
          </cell>
          <cell r="G794" t="str">
            <v>CHIL</v>
          </cell>
          <cell r="H794">
            <v>24.95</v>
          </cell>
          <cell r="I794">
            <v>0</v>
          </cell>
        </row>
        <row r="795">
          <cell r="B795" t="str">
            <v>0201781804966</v>
          </cell>
          <cell r="C795" t="str">
            <v>ONE-MINUTE MINDFULNESS</v>
          </cell>
          <cell r="D795" t="str">
            <v>R</v>
          </cell>
          <cell r="E795" t="str">
            <v>PB</v>
          </cell>
          <cell r="F795" t="str">
            <v>Parke, Simon</v>
          </cell>
          <cell r="G795" t="str">
            <v>SELF</v>
          </cell>
          <cell r="H795">
            <v>3.75</v>
          </cell>
          <cell r="I795">
            <v>128</v>
          </cell>
        </row>
        <row r="796">
          <cell r="B796" t="str">
            <v>0201781805420</v>
          </cell>
          <cell r="C796" t="str">
            <v>CONSCIOUS WRITING</v>
          </cell>
          <cell r="D796" t="str">
            <v>R</v>
          </cell>
          <cell r="E796" t="str">
            <v>PB</v>
          </cell>
          <cell r="F796" t="str">
            <v>McCutchen, Julia</v>
          </cell>
          <cell r="G796" t="str">
            <v>LANDIC</v>
          </cell>
          <cell r="H796">
            <v>3.99</v>
          </cell>
          <cell r="I796">
            <v>109</v>
          </cell>
        </row>
        <row r="797">
          <cell r="B797" t="str">
            <v>0201781805833</v>
          </cell>
          <cell r="C797" t="str">
            <v>WILD AWAKENING</v>
          </cell>
          <cell r="D797" t="str">
            <v>R</v>
          </cell>
          <cell r="E797" t="str">
            <v>PB</v>
          </cell>
          <cell r="F797" t="str">
            <v>Daniels, Mary</v>
          </cell>
          <cell r="G797" t="str">
            <v>SELF</v>
          </cell>
          <cell r="H797">
            <v>3.99</v>
          </cell>
          <cell r="I797">
            <v>210</v>
          </cell>
        </row>
        <row r="798">
          <cell r="B798" t="str">
            <v>0201781805970</v>
          </cell>
          <cell r="C798" t="str">
            <v>HOW TO BE WELL</v>
          </cell>
          <cell r="D798" t="str">
            <v>R</v>
          </cell>
          <cell r="E798" t="str">
            <v>PB</v>
          </cell>
          <cell r="F798" t="str">
            <v>Wynne, Abby</v>
          </cell>
          <cell r="G798" t="str">
            <v>NWAGE</v>
          </cell>
          <cell r="H798">
            <v>3.99</v>
          </cell>
          <cell r="I798">
            <v>258</v>
          </cell>
        </row>
        <row r="799">
          <cell r="B799" t="str">
            <v>0201781806670</v>
          </cell>
          <cell r="C799" t="str">
            <v>#HIGHERSELFIE</v>
          </cell>
          <cell r="D799" t="str">
            <v>R</v>
          </cell>
          <cell r="E799" t="str">
            <v>PB</v>
          </cell>
          <cell r="F799" t="str">
            <v>Sheridan, Lucy ; Westwood, Jo</v>
          </cell>
          <cell r="G799" t="str">
            <v>NWAGE</v>
          </cell>
          <cell r="H799">
            <v>3.99</v>
          </cell>
          <cell r="I799">
            <v>286</v>
          </cell>
        </row>
        <row r="800">
          <cell r="B800" t="str">
            <v>0201784880172</v>
          </cell>
          <cell r="C800" t="str">
            <v>MAGIC CAKES</v>
          </cell>
          <cell r="D800" t="str">
            <v>R</v>
          </cell>
          <cell r="E800" t="str">
            <v>CL</v>
          </cell>
          <cell r="F800" t="str">
            <v>Huet-Gomez, Christelle ; Guedes, Valery</v>
          </cell>
          <cell r="G800" t="str">
            <v>COOK</v>
          </cell>
          <cell r="H800">
            <v>5.24</v>
          </cell>
          <cell r="I800">
            <v>60</v>
          </cell>
        </row>
        <row r="801">
          <cell r="B801" t="str">
            <v>0201784880257</v>
          </cell>
          <cell r="C801" t="str">
            <v>EVERYDAY DELICIOUS</v>
          </cell>
          <cell r="D801" t="str">
            <v>R</v>
          </cell>
          <cell r="E801" t="str">
            <v>PB</v>
          </cell>
          <cell r="F801" t="str">
            <v>Hossack, Izy</v>
          </cell>
          <cell r="G801" t="str">
            <v>COOK</v>
          </cell>
          <cell r="H801">
            <v>10.5</v>
          </cell>
          <cell r="I801">
            <v>800</v>
          </cell>
        </row>
        <row r="802">
          <cell r="B802" t="str">
            <v>0201784880530</v>
          </cell>
          <cell r="C802" t="str">
            <v>BRAID IT!</v>
          </cell>
          <cell r="D802" t="str">
            <v>R</v>
          </cell>
          <cell r="E802" t="str">
            <v>CL</v>
          </cell>
          <cell r="F802" t="str">
            <v>Linton, Jessy ; Akhuetie, Taiba</v>
          </cell>
          <cell r="G802" t="str">
            <v>HEAL</v>
          </cell>
          <cell r="H802">
            <v>4.99</v>
          </cell>
          <cell r="I802">
            <v>108</v>
          </cell>
        </row>
        <row r="803">
          <cell r="B803" t="str">
            <v>0201784880554</v>
          </cell>
          <cell r="C803" t="str">
            <v>SPOON</v>
          </cell>
          <cell r="D803" t="str">
            <v>R</v>
          </cell>
          <cell r="E803" t="str">
            <v>CL</v>
          </cell>
          <cell r="F803" t="str">
            <v>Morris, Annie ; Shimmin, Jonny</v>
          </cell>
          <cell r="G803" t="str">
            <v>COOK</v>
          </cell>
          <cell r="H803">
            <v>7.99</v>
          </cell>
          <cell r="I803">
            <v>720</v>
          </cell>
        </row>
        <row r="804">
          <cell r="B804" t="str">
            <v>0201784880615</v>
          </cell>
          <cell r="C804" t="str">
            <v>POSTCARDS FROM GREECE</v>
          </cell>
          <cell r="D804" t="str">
            <v>R</v>
          </cell>
          <cell r="E804" t="str">
            <v>CL</v>
          </cell>
          <cell r="F804" t="str">
            <v>Seal, Rebecca</v>
          </cell>
          <cell r="G804" t="str">
            <v>COOK</v>
          </cell>
          <cell r="H804">
            <v>9</v>
          </cell>
          <cell r="I804">
            <v>0</v>
          </cell>
        </row>
        <row r="805">
          <cell r="B805" t="str">
            <v>0201784880660</v>
          </cell>
          <cell r="C805" t="str">
            <v>LOST IN LONDON</v>
          </cell>
          <cell r="D805" t="str">
            <v>R</v>
          </cell>
          <cell r="E805" t="str">
            <v>PB</v>
          </cell>
          <cell r="F805" t="str">
            <v>Moritz, Sylvia ; Ottesen, Rowan</v>
          </cell>
          <cell r="G805" t="str">
            <v>ARTS</v>
          </cell>
          <cell r="H805">
            <v>4.99</v>
          </cell>
          <cell r="I805">
            <v>120</v>
          </cell>
        </row>
        <row r="806">
          <cell r="B806" t="str">
            <v>0201784880677</v>
          </cell>
          <cell r="C806" t="str">
            <v>BIRDS OF PARADISE</v>
          </cell>
          <cell r="D806" t="str">
            <v>R</v>
          </cell>
          <cell r="E806" t="str">
            <v>CL</v>
          </cell>
          <cell r="F806" t="str">
            <v>Scobie, Lorna</v>
          </cell>
          <cell r="G806" t="str">
            <v>SPOR</v>
          </cell>
          <cell r="H806">
            <v>4.99</v>
          </cell>
          <cell r="I806">
            <v>270</v>
          </cell>
        </row>
        <row r="807">
          <cell r="B807" t="str">
            <v>0201784880783</v>
          </cell>
          <cell r="C807" t="str">
            <v>FAST DAYS COOKBOOK</v>
          </cell>
          <cell r="D807" t="str">
            <v>R</v>
          </cell>
          <cell r="E807" t="str">
            <v>CL</v>
          </cell>
          <cell r="F807" t="str">
            <v>Herring, Laura</v>
          </cell>
          <cell r="G807" t="str">
            <v>COOK</v>
          </cell>
          <cell r="H807">
            <v>5.25</v>
          </cell>
          <cell r="I807">
            <v>0</v>
          </cell>
        </row>
        <row r="808">
          <cell r="B808" t="str">
            <v>0201784880820</v>
          </cell>
          <cell r="C808" t="str">
            <v>UNRULY CURLS</v>
          </cell>
          <cell r="D808" t="str">
            <v>R</v>
          </cell>
          <cell r="E808" t="str">
            <v>CL</v>
          </cell>
          <cell r="F808" t="str">
            <v>Price, Michael ; Devedlaka-Price, Natasha</v>
          </cell>
          <cell r="G808" t="str">
            <v>HEAL</v>
          </cell>
          <cell r="H808">
            <v>5.25</v>
          </cell>
          <cell r="I808">
            <v>144</v>
          </cell>
        </row>
        <row r="809">
          <cell r="B809" t="str">
            <v>0201784880837</v>
          </cell>
          <cell r="C809" t="str">
            <v>GUILT-FREE NICE CREAM</v>
          </cell>
          <cell r="D809" t="str">
            <v>R</v>
          </cell>
          <cell r="E809" t="str">
            <v>CL</v>
          </cell>
          <cell r="F809" t="str">
            <v>Broadhead, Margie</v>
          </cell>
          <cell r="G809" t="str">
            <v>COOK</v>
          </cell>
          <cell r="H809">
            <v>7</v>
          </cell>
          <cell r="I809">
            <v>200</v>
          </cell>
        </row>
        <row r="810">
          <cell r="B810" t="str">
            <v>0201784880868</v>
          </cell>
          <cell r="C810" t="str">
            <v>POKE</v>
          </cell>
          <cell r="D810" t="str">
            <v>R</v>
          </cell>
          <cell r="E810" t="str">
            <v>CL</v>
          </cell>
          <cell r="F810" t="str">
            <v>Jackson, Guy ; Farrar, Celia</v>
          </cell>
          <cell r="G810" t="str">
            <v>COOK</v>
          </cell>
          <cell r="H810">
            <v>7</v>
          </cell>
          <cell r="I810">
            <v>140</v>
          </cell>
        </row>
        <row r="811">
          <cell r="B811" t="str">
            <v>0201784880950</v>
          </cell>
          <cell r="C811" t="str">
            <v>LOVE YOUR LUNCHES</v>
          </cell>
          <cell r="D811" t="str">
            <v>R</v>
          </cell>
          <cell r="E811" t="str">
            <v>CL</v>
          </cell>
          <cell r="F811" t="str">
            <v>Dickinson, Bec</v>
          </cell>
          <cell r="G811" t="str">
            <v>COOK</v>
          </cell>
          <cell r="H811">
            <v>7</v>
          </cell>
          <cell r="I811">
            <v>300</v>
          </cell>
        </row>
        <row r="812">
          <cell r="B812" t="str">
            <v>0201784881018</v>
          </cell>
          <cell r="C812" t="str">
            <v>LIPS</v>
          </cell>
          <cell r="D812" t="str">
            <v>R</v>
          </cell>
          <cell r="E812" t="str">
            <v>CL</v>
          </cell>
          <cell r="F812" t="str">
            <v>Devedlaka-Price, Natasha</v>
          </cell>
          <cell r="G812" t="str">
            <v>HEAL</v>
          </cell>
          <cell r="H812">
            <v>3.5</v>
          </cell>
          <cell r="I812">
            <v>880</v>
          </cell>
        </row>
        <row r="813">
          <cell r="B813" t="str">
            <v>0201787130496</v>
          </cell>
          <cell r="C813" t="str">
            <v>SUPPER LOVE</v>
          </cell>
          <cell r="D813" t="str">
            <v>R</v>
          </cell>
          <cell r="E813" t="str">
            <v>CL</v>
          </cell>
          <cell r="F813" t="str">
            <v>Bez, David</v>
          </cell>
          <cell r="G813" t="str">
            <v>COOK</v>
          </cell>
          <cell r="H813">
            <v>8.13</v>
          </cell>
          <cell r="I813">
            <v>216</v>
          </cell>
        </row>
        <row r="814">
          <cell r="B814" t="str">
            <v>0201849496614</v>
          </cell>
          <cell r="C814" t="str">
            <v>FRIENDS FOOD FAMILY</v>
          </cell>
          <cell r="D814" t="str">
            <v>R</v>
          </cell>
          <cell r="E814" t="str">
            <v>CL</v>
          </cell>
          <cell r="F814" t="str">
            <v>Wilkins, Sasha ; Linder, Lisa</v>
          </cell>
          <cell r="G814" t="str">
            <v>COOK</v>
          </cell>
          <cell r="H814">
            <v>7.99</v>
          </cell>
          <cell r="I814">
            <v>252</v>
          </cell>
        </row>
        <row r="815">
          <cell r="B815" t="str">
            <v>0201849496621</v>
          </cell>
          <cell r="C815" t="str">
            <v>ESSENCE OF FRENCH COOKING</v>
          </cell>
          <cell r="D815" t="str">
            <v>R</v>
          </cell>
          <cell r="E815" t="str">
            <v>CL</v>
          </cell>
          <cell r="F815" t="str">
            <v>Roux, Michel ; Linder, Lisa</v>
          </cell>
          <cell r="G815" t="str">
            <v>COOK</v>
          </cell>
          <cell r="H815">
            <v>12.99</v>
          </cell>
          <cell r="I815">
            <v>0</v>
          </cell>
        </row>
        <row r="816">
          <cell r="B816" t="str">
            <v>0201849496638</v>
          </cell>
          <cell r="C816" t="str">
            <v>EAT ISTANBUL</v>
          </cell>
          <cell r="D816" t="str">
            <v>R</v>
          </cell>
          <cell r="E816" t="str">
            <v>CL</v>
          </cell>
          <cell r="F816" t="str">
            <v>Harris, Andy ; Loftus, David</v>
          </cell>
          <cell r="G816" t="str">
            <v>COOK</v>
          </cell>
          <cell r="H816">
            <v>7.99</v>
          </cell>
          <cell r="I816">
            <v>0</v>
          </cell>
        </row>
        <row r="817">
          <cell r="B817" t="str">
            <v>0201849497147</v>
          </cell>
          <cell r="C817" t="str">
            <v>BREAKFAST LOVE</v>
          </cell>
          <cell r="D817" t="str">
            <v>R</v>
          </cell>
          <cell r="E817" t="str">
            <v>CL</v>
          </cell>
          <cell r="F817" t="str">
            <v>Bez, David</v>
          </cell>
          <cell r="G817" t="str">
            <v>COOK</v>
          </cell>
          <cell r="H817">
            <v>6.99</v>
          </cell>
          <cell r="I817">
            <v>0</v>
          </cell>
        </row>
        <row r="818">
          <cell r="B818" t="str">
            <v>0201849497154</v>
          </cell>
          <cell r="C818" t="str">
            <v>GRILL SMOKE BBQ</v>
          </cell>
          <cell r="D818" t="str">
            <v>R</v>
          </cell>
          <cell r="E818" t="str">
            <v>CL</v>
          </cell>
          <cell r="F818" t="str">
            <v>Tish, Ben ; Kirkham, Kris</v>
          </cell>
          <cell r="G818" t="str">
            <v>COOK</v>
          </cell>
          <cell r="H818">
            <v>12.5</v>
          </cell>
          <cell r="I818">
            <v>792</v>
          </cell>
        </row>
        <row r="819">
          <cell r="B819" t="str">
            <v>0201849497208</v>
          </cell>
          <cell r="C819" t="str">
            <v>DEEP SOUTH</v>
          </cell>
          <cell r="D819" t="str">
            <v>R</v>
          </cell>
          <cell r="E819" t="str">
            <v>CL</v>
          </cell>
          <cell r="F819" t="str">
            <v>McDonald, Brad ; Sewell, Andy</v>
          </cell>
          <cell r="G819" t="str">
            <v>COOK</v>
          </cell>
          <cell r="H819">
            <v>9.99</v>
          </cell>
          <cell r="I819">
            <v>94</v>
          </cell>
        </row>
        <row r="820">
          <cell r="B820" t="str">
            <v>0201849497420</v>
          </cell>
          <cell r="C820" t="str">
            <v>SPOTLESS HOME</v>
          </cell>
          <cell r="D820" t="str">
            <v>R</v>
          </cell>
          <cell r="E820" t="str">
            <v>PB</v>
          </cell>
          <cell r="F820" t="str">
            <v>Bodoano, Bridget</v>
          </cell>
          <cell r="G820" t="str">
            <v>DOIT</v>
          </cell>
          <cell r="H820">
            <v>3.99</v>
          </cell>
          <cell r="I820">
            <v>0</v>
          </cell>
        </row>
        <row r="821">
          <cell r="B821" t="str">
            <v>0201849497529</v>
          </cell>
          <cell r="C821" t="str">
            <v>VEGETABLES</v>
          </cell>
          <cell r="D821" t="str">
            <v>R</v>
          </cell>
          <cell r="E821" t="str">
            <v>CL</v>
          </cell>
          <cell r="F821" t="str">
            <v>Carluccio, Antonio ; Edwards, Laura</v>
          </cell>
          <cell r="G821" t="str">
            <v>COOK</v>
          </cell>
          <cell r="H821">
            <v>12.5</v>
          </cell>
          <cell r="I821">
            <v>110</v>
          </cell>
        </row>
        <row r="822">
          <cell r="B822" t="str">
            <v>0201849497536</v>
          </cell>
          <cell r="C822" t="str">
            <v>LEARN TO CROCHET, LOVE TO CROC</v>
          </cell>
          <cell r="D822" t="str">
            <v>R</v>
          </cell>
          <cell r="E822" t="str">
            <v>PB</v>
          </cell>
          <cell r="F822" t="str">
            <v>Wilkinson, Anna ; Edwards, Laura</v>
          </cell>
          <cell r="G822" t="str">
            <v>CRAF</v>
          </cell>
          <cell r="H822">
            <v>5.99</v>
          </cell>
          <cell r="I822">
            <v>0</v>
          </cell>
        </row>
        <row r="823">
          <cell r="B823" t="str">
            <v>0201849497543</v>
          </cell>
          <cell r="C823" t="str">
            <v>SPRING</v>
          </cell>
          <cell r="D823" t="str">
            <v>R</v>
          </cell>
          <cell r="E823" t="str">
            <v>CL</v>
          </cell>
          <cell r="F823" t="str">
            <v>Gyngell, Skye ; Sewell, Andy</v>
          </cell>
          <cell r="G823" t="str">
            <v>COOK</v>
          </cell>
          <cell r="H823">
            <v>7.99</v>
          </cell>
          <cell r="I823">
            <v>192</v>
          </cell>
        </row>
        <row r="824">
          <cell r="B824" t="str">
            <v>0201849497611</v>
          </cell>
          <cell r="C824" t="str">
            <v>ITALIAN BAKER</v>
          </cell>
          <cell r="D824" t="str">
            <v>R</v>
          </cell>
          <cell r="E824" t="str">
            <v>CL</v>
          </cell>
          <cell r="F824" t="str">
            <v>Forti, Melissa ; Bernardini, Danny</v>
          </cell>
          <cell r="G824" t="str">
            <v>COOK</v>
          </cell>
          <cell r="H824">
            <v>7.99</v>
          </cell>
          <cell r="I824">
            <v>126</v>
          </cell>
        </row>
        <row r="825">
          <cell r="B825" t="str">
            <v>0201849497871</v>
          </cell>
          <cell r="C825" t="str">
            <v>DRESS YOU UP</v>
          </cell>
          <cell r="D825" t="str">
            <v>R</v>
          </cell>
          <cell r="E825" t="str">
            <v>CL</v>
          </cell>
          <cell r="F825" t="str">
            <v>Nicholas, Rosy ; Laycock, Adam</v>
          </cell>
          <cell r="G825" t="str">
            <v>CRAF</v>
          </cell>
          <cell r="H825">
            <v>7</v>
          </cell>
          <cell r="I825">
            <v>154</v>
          </cell>
        </row>
        <row r="826">
          <cell r="B826" t="str">
            <v>0201849498052</v>
          </cell>
          <cell r="C826" t="str">
            <v>CATH KIDSTON TEATIME</v>
          </cell>
          <cell r="D826" t="str">
            <v>R</v>
          </cell>
          <cell r="E826" t="str">
            <v>CL</v>
          </cell>
          <cell r="F826" t="str">
            <v>Kidston, Cath ; Platts, Rita</v>
          </cell>
          <cell r="G826" t="str">
            <v>COOK</v>
          </cell>
          <cell r="H826">
            <v>6.99</v>
          </cell>
          <cell r="I826">
            <v>56</v>
          </cell>
        </row>
        <row r="827">
          <cell r="B827" t="str">
            <v>0201849498373</v>
          </cell>
          <cell r="C827" t="str">
            <v>ESSENTIAL CHINESE COOKING</v>
          </cell>
          <cell r="D827" t="str">
            <v>R</v>
          </cell>
          <cell r="E827" t="str">
            <v>CL</v>
          </cell>
          <cell r="F827" t="str">
            <v>Pang, Jeremy ; Poole, Martin</v>
          </cell>
          <cell r="G827" t="str">
            <v>COOK</v>
          </cell>
          <cell r="H827">
            <v>6.99</v>
          </cell>
          <cell r="I827">
            <v>0</v>
          </cell>
        </row>
        <row r="828">
          <cell r="B828" t="str">
            <v>0201849498397</v>
          </cell>
          <cell r="C828" t="str">
            <v>BREAST CANCER COOKBOOK</v>
          </cell>
          <cell r="D828" t="str">
            <v>R</v>
          </cell>
          <cell r="E828" t="str">
            <v>CL</v>
          </cell>
          <cell r="F828" t="str">
            <v>Keshtgar, Mohammed ; Jonzen, Emily ; Thompson, Alastair M.</v>
          </cell>
          <cell r="G828" t="str">
            <v>COOK</v>
          </cell>
          <cell r="H828">
            <v>7.99</v>
          </cell>
          <cell r="I828">
            <v>120</v>
          </cell>
        </row>
        <row r="829">
          <cell r="B829" t="str">
            <v>0201849498403</v>
          </cell>
          <cell r="C829" t="str">
            <v>MY NAME IS GIRL</v>
          </cell>
          <cell r="D829" t="str">
            <v>R</v>
          </cell>
          <cell r="E829" t="str">
            <v>PB</v>
          </cell>
          <cell r="F829" t="str">
            <v>Cosford, Nina</v>
          </cell>
          <cell r="G829" t="str">
            <v>HUM</v>
          </cell>
          <cell r="H829">
            <v>5.24</v>
          </cell>
          <cell r="I829">
            <v>140</v>
          </cell>
        </row>
        <row r="830">
          <cell r="B830" t="str">
            <v>0201849498434</v>
          </cell>
          <cell r="C830" t="str">
            <v>CATH KIDSTON FLORAL COLORING B</v>
          </cell>
          <cell r="D830" t="str">
            <v>R</v>
          </cell>
          <cell r="E830" t="str">
            <v>PB</v>
          </cell>
          <cell r="F830" t="str">
            <v>Kidston, Cath</v>
          </cell>
          <cell r="G830" t="str">
            <v>SPOR</v>
          </cell>
          <cell r="H830">
            <v>4.99</v>
          </cell>
          <cell r="I830">
            <v>400</v>
          </cell>
        </row>
        <row r="831">
          <cell r="B831" t="str">
            <v>0201849498816</v>
          </cell>
          <cell r="C831" t="str">
            <v>K IS FOR KOREAN</v>
          </cell>
          <cell r="D831" t="str">
            <v>R</v>
          </cell>
          <cell r="E831" t="str">
            <v>CL</v>
          </cell>
          <cell r="F831" t="str">
            <v>Lightbody, Kim</v>
          </cell>
          <cell r="G831" t="str">
            <v>COOK</v>
          </cell>
          <cell r="H831">
            <v>7</v>
          </cell>
          <cell r="I831">
            <v>84</v>
          </cell>
        </row>
        <row r="832">
          <cell r="B832" t="str">
            <v>0201849499059</v>
          </cell>
          <cell r="C832" t="str">
            <v>COLORING BOOK OF MINDFULNESS: </v>
          </cell>
          <cell r="D832" t="str">
            <v>R</v>
          </cell>
          <cell r="E832" t="str">
            <v>PB</v>
          </cell>
          <cell r="F832" t="str">
            <v>Frank, Ryn</v>
          </cell>
          <cell r="G832" t="str">
            <v>SPOR</v>
          </cell>
          <cell r="H832">
            <v>5.25</v>
          </cell>
          <cell r="I832">
            <v>0</v>
          </cell>
        </row>
        <row r="833">
          <cell r="B833" t="str">
            <v>0201849499165</v>
          </cell>
          <cell r="C833" t="str">
            <v>EAT MORE GREENS</v>
          </cell>
          <cell r="D833" t="str">
            <v>R</v>
          </cell>
          <cell r="E833" t="str">
            <v>CL</v>
          </cell>
          <cell r="F833" t="str">
            <v>Steyn, Zita ; Rothacker, Nassima</v>
          </cell>
          <cell r="G833" t="str">
            <v>COOK</v>
          </cell>
          <cell r="H833">
            <v>8.75</v>
          </cell>
          <cell r="I833">
            <v>240</v>
          </cell>
        </row>
        <row r="834">
          <cell r="B834" t="str">
            <v>0201849499622</v>
          </cell>
          <cell r="C834" t="str">
            <v>S IS FOR SRI LANKAN</v>
          </cell>
          <cell r="D834" t="str">
            <v>R</v>
          </cell>
          <cell r="E834" t="str">
            <v>CL</v>
          </cell>
          <cell r="F834" t="str">
            <v>Lightbody, Kim</v>
          </cell>
          <cell r="G834" t="str">
            <v>COOK</v>
          </cell>
          <cell r="H834">
            <v>7</v>
          </cell>
          <cell r="I834">
            <v>168</v>
          </cell>
        </row>
        <row r="835">
          <cell r="B835" t="str">
            <v>0201856699398</v>
          </cell>
          <cell r="C835" t="str">
            <v>SKULL ART PRINTS</v>
          </cell>
          <cell r="D835" t="str">
            <v>r</v>
          </cell>
          <cell r="E835" t="str">
            <v>MI</v>
          </cell>
          <cell r="F835" t="str">
            <v>Various artists</v>
          </cell>
          <cell r="G835" t="str">
            <v>ARTS</v>
          </cell>
          <cell r="H835">
            <v>6.99</v>
          </cell>
          <cell r="I835">
            <v>60</v>
          </cell>
        </row>
        <row r="836">
          <cell r="B836" t="str">
            <v>0201856699428</v>
          </cell>
          <cell r="C836" t="str">
            <v>STREET FOOD JOURNAL</v>
          </cell>
          <cell r="D836" t="str">
            <v>R</v>
          </cell>
          <cell r="E836" t="str">
            <v>JN</v>
          </cell>
          <cell r="F836" t="str">
            <v>Augusta, Sophia</v>
          </cell>
          <cell r="G836" t="str">
            <v>COOK</v>
          </cell>
          <cell r="H836">
            <v>4.99</v>
          </cell>
          <cell r="I836">
            <v>0</v>
          </cell>
        </row>
        <row r="837">
          <cell r="B837" t="str">
            <v>0201856699459</v>
          </cell>
          <cell r="C837" t="str">
            <v>PARIS POSTCARDS</v>
          </cell>
          <cell r="D837" t="str">
            <v>R</v>
          </cell>
          <cell r="E837" t="str">
            <v>PC</v>
          </cell>
          <cell r="F837" t="str">
            <v>Brooks, Jason</v>
          </cell>
          <cell r="G837" t="str">
            <v>TRAV</v>
          </cell>
          <cell r="H837">
            <v>4.63</v>
          </cell>
          <cell r="I837">
            <v>0</v>
          </cell>
        </row>
        <row r="838">
          <cell r="B838" t="str">
            <v>0201856699510</v>
          </cell>
          <cell r="C838" t="str">
            <v>DIY BOARD GAMES</v>
          </cell>
          <cell r="D838" t="str">
            <v>R</v>
          </cell>
          <cell r="E838" t="str">
            <v>KT</v>
          </cell>
          <cell r="F838" t="str">
            <v>Starzinsky, Inca ; Williams, Ruth</v>
          </cell>
          <cell r="G838" t="str">
            <v>CHIL</v>
          </cell>
          <cell r="H838">
            <v>11.24</v>
          </cell>
          <cell r="I838">
            <v>0</v>
          </cell>
        </row>
        <row r="839">
          <cell r="B839" t="str">
            <v>0201896597210</v>
          </cell>
          <cell r="C839" t="str">
            <v>MAYBE LATER</v>
          </cell>
          <cell r="D839" t="str">
            <v>R</v>
          </cell>
          <cell r="E839" t="str">
            <v>CL</v>
          </cell>
          <cell r="F839" t="str">
            <v>Dupuy, Phillipe; Berberian, Charles</v>
          </cell>
          <cell r="G839" t="str">
            <v>FICT</v>
          </cell>
          <cell r="H839">
            <v>4.99</v>
          </cell>
          <cell r="I839">
            <v>0</v>
          </cell>
        </row>
        <row r="840">
          <cell r="B840" t="str">
            <v>0201927958096</v>
          </cell>
          <cell r="C840" t="str">
            <v>HAROLD TOWN</v>
          </cell>
          <cell r="D840" t="str">
            <v>R</v>
          </cell>
          <cell r="E840" t="str">
            <v>CL</v>
          </cell>
          <cell r="F840" t="str">
            <v>Nowell, Iris</v>
          </cell>
          <cell r="G840" t="str">
            <v>ARTS</v>
          </cell>
          <cell r="H840">
            <v>11.25</v>
          </cell>
          <cell r="I840">
            <v>1199</v>
          </cell>
        </row>
        <row r="841">
          <cell r="B841" t="str">
            <v>0201927958102</v>
          </cell>
          <cell r="C841" t="str">
            <v>GRILLING WITH HOUSE OF Q</v>
          </cell>
          <cell r="D841" t="str">
            <v>R</v>
          </cell>
          <cell r="E841" t="str">
            <v>PB</v>
          </cell>
          <cell r="F841" t="str">
            <v>Misko, BBQ Brian</v>
          </cell>
          <cell r="G841" t="str">
            <v>COOK</v>
          </cell>
          <cell r="H841">
            <v>6.24</v>
          </cell>
          <cell r="I841">
            <v>624</v>
          </cell>
        </row>
        <row r="842">
          <cell r="B842" t="str">
            <v>0201927958294</v>
          </cell>
          <cell r="C842" t="str">
            <v>ANNA BANANA</v>
          </cell>
          <cell r="D842" t="str">
            <v>R</v>
          </cell>
          <cell r="E842" t="str">
            <v>CL</v>
          </cell>
          <cell r="F842" t="str">
            <v>Jacques, Michelle</v>
          </cell>
          <cell r="G842" t="str">
            <v>ARTS</v>
          </cell>
          <cell r="H842">
            <v>10</v>
          </cell>
          <cell r="I842">
            <v>644</v>
          </cell>
        </row>
        <row r="843">
          <cell r="B843" t="str">
            <v>0201928576701</v>
          </cell>
          <cell r="C843" t="str">
            <v>MAG OFFICE KIT</v>
          </cell>
          <cell r="D843" t="str">
            <v>R</v>
          </cell>
          <cell r="E843" t="str">
            <v>BX</v>
          </cell>
          <cell r="F843" t="str">
            <v>Magnetic Poetry</v>
          </cell>
          <cell r="G843" t="str">
            <v>gift</v>
          </cell>
          <cell r="H843">
            <v>3.99</v>
          </cell>
          <cell r="I843">
            <v>0</v>
          </cell>
        </row>
        <row r="844">
          <cell r="B844" t="str">
            <v>0201929766095</v>
          </cell>
          <cell r="C844" t="str">
            <v>ARE CHICKENS STRIPY</v>
          </cell>
          <cell r="D844" t="str">
            <v>R</v>
          </cell>
          <cell r="E844" t="str">
            <v>CL</v>
          </cell>
          <cell r="F844" t="str">
            <v>Leslie, Amanda</v>
          </cell>
          <cell r="G844" t="str">
            <v>CHPI</v>
          </cell>
          <cell r="H844">
            <v>1.99</v>
          </cell>
          <cell r="I844">
            <v>0</v>
          </cell>
        </row>
        <row r="845">
          <cell r="B845" t="str">
            <v>0201932855571</v>
          </cell>
          <cell r="C845" t="str">
            <v>KILLER PIES</v>
          </cell>
          <cell r="D845" t="str">
            <v>R</v>
          </cell>
          <cell r="E845" t="str">
            <v>SB</v>
          </cell>
          <cell r="F845" t="str">
            <v>Anderson, Stephanie</v>
          </cell>
          <cell r="G845" t="str">
            <v>FOOD</v>
          </cell>
          <cell r="H845">
            <v>4.99</v>
          </cell>
          <cell r="I845">
            <v>0</v>
          </cell>
        </row>
        <row r="846">
          <cell r="B846" t="str">
            <v>0210991858867</v>
          </cell>
          <cell r="C846" t="str">
            <v>WHITEHORSE DUST JACKET WHI</v>
          </cell>
          <cell r="D846">
            <v>3</v>
          </cell>
          <cell r="E846" t="str">
            <v>XJ</v>
          </cell>
          <cell r="F846" t="str">
            <v>Dobrowolsky, Helen ; Johnson, Linda</v>
          </cell>
          <cell r="G846" t="str">
            <v>HIST</v>
          </cell>
          <cell r="H846">
            <v>0</v>
          </cell>
          <cell r="I846">
            <v>75</v>
          </cell>
        </row>
        <row r="847">
          <cell r="B847" t="str">
            <v>0211551926415</v>
          </cell>
          <cell r="C847" t="str">
            <v>ELDERS ARE WATCHING DUST JACKE</v>
          </cell>
          <cell r="D847" t="str">
            <v>NYR</v>
          </cell>
          <cell r="E847" t="str">
            <v>XJ</v>
          </cell>
          <cell r="F847" t="str">
            <v>Vickers, Roy Henry</v>
          </cell>
          <cell r="G847" t="str">
            <v>CHPI</v>
          </cell>
          <cell r="H847">
            <v>0</v>
          </cell>
          <cell r="I847">
            <v>313</v>
          </cell>
        </row>
        <row r="848">
          <cell r="B848" t="str">
            <v>0211895714662</v>
          </cell>
          <cell r="C848" t="str">
            <v>IF YOU'RE NOT FROM THE PRAIRIE</v>
          </cell>
          <cell r="D848">
            <v>1</v>
          </cell>
          <cell r="E848" t="str">
            <v>XJ</v>
          </cell>
          <cell r="G848" t="str">
            <v>CHPI</v>
          </cell>
          <cell r="H848">
            <v>0</v>
          </cell>
          <cell r="I848">
            <v>2080</v>
          </cell>
        </row>
        <row r="849">
          <cell r="B849" t="str">
            <v>0211927958798</v>
          </cell>
          <cell r="C849" t="str">
            <v>PLACEMAKERS DUST JACKET</v>
          </cell>
          <cell r="D849">
            <v>1</v>
          </cell>
          <cell r="E849" t="str">
            <v>XJ</v>
          </cell>
          <cell r="F849" t="str">
            <v>Auerbach, Herb ; Nadel, Ira</v>
          </cell>
          <cell r="G849" t="str">
            <v>HIST</v>
          </cell>
          <cell r="H849">
            <v>0</v>
          </cell>
          <cell r="I849">
            <v>135</v>
          </cell>
        </row>
        <row r="850">
          <cell r="B850" t="str">
            <v>0211927958842</v>
          </cell>
          <cell r="C850" t="str">
            <v>GRAND COMPLICATIONS DUST JACKE</v>
          </cell>
          <cell r="D850">
            <v>1</v>
          </cell>
          <cell r="E850" t="str">
            <v>XJ</v>
          </cell>
          <cell r="F850" t="str">
            <v>Laskin, William "Grit"</v>
          </cell>
          <cell r="G850" t="str">
            <v>ARTS</v>
          </cell>
          <cell r="H850">
            <v>0</v>
          </cell>
          <cell r="I850">
            <v>125</v>
          </cell>
        </row>
        <row r="851">
          <cell r="B851" t="str">
            <v>0220811818070</v>
          </cell>
          <cell r="C851" t="str">
            <v>OLIVE THE OTHER REINDEER</v>
          </cell>
          <cell r="D851" t="str">
            <v>R</v>
          </cell>
          <cell r="E851" t="str">
            <v>CL</v>
          </cell>
          <cell r="F851" t="str">
            <v>Seibold, J.Otto</v>
          </cell>
          <cell r="G851" t="str">
            <v>GIFT</v>
          </cell>
          <cell r="H851">
            <v>4.5</v>
          </cell>
          <cell r="I851">
            <v>0</v>
          </cell>
        </row>
        <row r="852">
          <cell r="B852" t="str">
            <v>0220811829861</v>
          </cell>
          <cell r="C852" t="str">
            <v>BOOKS TO CHECK OUT</v>
          </cell>
          <cell r="D852" t="str">
            <v>R</v>
          </cell>
          <cell r="E852" t="str">
            <v>JN</v>
          </cell>
          <cell r="F852" t="str">
            <v>Chronicle Books</v>
          </cell>
          <cell r="G852" t="str">
            <v>Gift</v>
          </cell>
          <cell r="H852">
            <v>3.74</v>
          </cell>
          <cell r="I852">
            <v>0</v>
          </cell>
        </row>
        <row r="853">
          <cell r="B853" t="str">
            <v>0220811836364</v>
          </cell>
          <cell r="C853" t="str">
            <v>BEATLES ANTHOLOGY</v>
          </cell>
          <cell r="D853" t="str">
            <v>R</v>
          </cell>
          <cell r="E853" t="str">
            <v>PB</v>
          </cell>
          <cell r="F853" t="str">
            <v>The Beatles</v>
          </cell>
          <cell r="G853" t="str">
            <v>BIOG</v>
          </cell>
          <cell r="H853">
            <v>10.75</v>
          </cell>
          <cell r="I853">
            <v>0</v>
          </cell>
        </row>
        <row r="854">
          <cell r="B854" t="str">
            <v>0220811839167</v>
          </cell>
          <cell r="C854" t="str">
            <v>MOMMY HUGS</v>
          </cell>
          <cell r="D854" t="str">
            <v>R</v>
          </cell>
          <cell r="E854" t="str">
            <v>BD</v>
          </cell>
          <cell r="F854" t="str">
            <v>Gutman, Anne ; Hallensleben, Georg</v>
          </cell>
          <cell r="G854" t="str">
            <v>chil</v>
          </cell>
          <cell r="H854">
            <v>1.74</v>
          </cell>
          <cell r="I854">
            <v>0</v>
          </cell>
        </row>
        <row r="855">
          <cell r="B855" t="str">
            <v>0220811847360</v>
          </cell>
          <cell r="C855" t="str">
            <v>WILDLIFE OF STAR WARS</v>
          </cell>
          <cell r="D855" t="str">
            <v>R</v>
          </cell>
          <cell r="E855" t="str">
            <v>PB</v>
          </cell>
          <cell r="F855" t="str">
            <v>Whitlatch, Terryl ; Carrau, Bob</v>
          </cell>
          <cell r="G855" t="str">
            <v>POPCUL</v>
          </cell>
          <cell r="H855">
            <v>6.99</v>
          </cell>
          <cell r="I855">
            <v>0</v>
          </cell>
        </row>
        <row r="856">
          <cell r="B856" t="str">
            <v>0220811849920</v>
          </cell>
          <cell r="C856" t="str">
            <v>SANTA CLAWS</v>
          </cell>
          <cell r="D856" t="str">
            <v>R</v>
          </cell>
          <cell r="E856" t="str">
            <v>CL</v>
          </cell>
          <cell r="F856" t="str">
            <v>Leuck, Laura ; Grimly, Gris</v>
          </cell>
          <cell r="G856" t="str">
            <v>CHPI</v>
          </cell>
          <cell r="H856">
            <v>5.49</v>
          </cell>
          <cell r="I856">
            <v>0</v>
          </cell>
        </row>
        <row r="857">
          <cell r="B857" t="str">
            <v>0220811855228</v>
          </cell>
          <cell r="C857" t="str">
            <v>SYLVIA LONG'S THUMBELINA</v>
          </cell>
          <cell r="D857" t="str">
            <v>R</v>
          </cell>
          <cell r="E857" t="str">
            <v>CL</v>
          </cell>
          <cell r="G857" t="str">
            <v>CHIL</v>
          </cell>
          <cell r="H857">
            <v>5.5</v>
          </cell>
          <cell r="I857">
            <v>0</v>
          </cell>
        </row>
        <row r="858">
          <cell r="B858" t="str">
            <v>0220811855600</v>
          </cell>
          <cell r="C858" t="str">
            <v>HEATH CERAMICS</v>
          </cell>
          <cell r="D858" t="str">
            <v>R</v>
          </cell>
          <cell r="E858" t="str">
            <v>CL</v>
          </cell>
          <cell r="F858" t="str">
            <v>Klausner, Amos</v>
          </cell>
          <cell r="G858" t="str">
            <v>Life</v>
          </cell>
          <cell r="H858">
            <v>8.99</v>
          </cell>
          <cell r="I858">
            <v>90</v>
          </cell>
        </row>
        <row r="859">
          <cell r="B859" t="str">
            <v>0220811857093</v>
          </cell>
          <cell r="C859" t="str">
            <v>DESIGNER'S GUIDE TO COLOR </v>
          </cell>
          <cell r="D859" t="str">
            <v>R</v>
          </cell>
          <cell r="E859" t="str">
            <v>PB</v>
          </cell>
          <cell r="G859" t="str">
            <v>DESI</v>
          </cell>
          <cell r="H859">
            <v>5.5</v>
          </cell>
          <cell r="I859">
            <v>0</v>
          </cell>
        </row>
        <row r="860">
          <cell r="B860" t="str">
            <v>0220811859332</v>
          </cell>
          <cell r="C860" t="str">
            <v>Masterng Art Of CHINESE COOKIN</v>
          </cell>
          <cell r="D860" t="str">
            <v>R</v>
          </cell>
          <cell r="E860" t="str">
            <v>CL</v>
          </cell>
          <cell r="F860" t="str">
            <v>Lo, Eileen Yin-Fei</v>
          </cell>
          <cell r="G860" t="str">
            <v>COOK</v>
          </cell>
          <cell r="H860">
            <v>15</v>
          </cell>
          <cell r="I860">
            <v>0</v>
          </cell>
        </row>
        <row r="861">
          <cell r="B861" t="str">
            <v>0220811862097</v>
          </cell>
          <cell r="C861" t="str">
            <v>MARGARITAS, MOJITOS &amp; MORE</v>
          </cell>
          <cell r="D861" t="str">
            <v>R</v>
          </cell>
          <cell r="E861" t="str">
            <v>CL</v>
          </cell>
          <cell r="F861" t="str">
            <v>Strand, Jessica ; Frankeny, Frankie</v>
          </cell>
          <cell r="G861" t="str">
            <v>COOK</v>
          </cell>
          <cell r="H861">
            <v>4.74</v>
          </cell>
          <cell r="I861">
            <v>0</v>
          </cell>
        </row>
        <row r="862">
          <cell r="B862" t="str">
            <v>0220811862356</v>
          </cell>
          <cell r="C862" t="str">
            <v>ART OF WALL*E</v>
          </cell>
          <cell r="D862" t="str">
            <v>R</v>
          </cell>
          <cell r="E862" t="str">
            <v>CL</v>
          </cell>
          <cell r="F862" t="str">
            <v>Hauser, Tim ; Stanton, Andrew</v>
          </cell>
          <cell r="G862" t="str">
            <v>film</v>
          </cell>
          <cell r="H862">
            <v>11.25</v>
          </cell>
          <cell r="I862">
            <v>0</v>
          </cell>
        </row>
        <row r="863">
          <cell r="B863" t="str">
            <v>0220811863377</v>
          </cell>
          <cell r="C863" t="str">
            <v>GOLDEN GATE BRIDGE</v>
          </cell>
          <cell r="D863" t="str">
            <v>R</v>
          </cell>
          <cell r="E863" t="str">
            <v>CL</v>
          </cell>
          <cell r="F863" t="str">
            <v>MacDonald, Donald ; Nadel, Ira</v>
          </cell>
          <cell r="G863" t="str">
            <v>arch</v>
          </cell>
          <cell r="H863">
            <v>5.49</v>
          </cell>
          <cell r="I863">
            <v>0</v>
          </cell>
        </row>
        <row r="864">
          <cell r="B864" t="str">
            <v>0220811863438</v>
          </cell>
          <cell r="C864" t="str">
            <v>OBSESSED WITH GOLF</v>
          </cell>
          <cell r="D864" t="str">
            <v>R</v>
          </cell>
          <cell r="E864" t="str">
            <v>CL</v>
          </cell>
          <cell r="F864" t="str">
            <v>Shedloski, Dave ; Miceli, Alex</v>
          </cell>
          <cell r="G864" t="str">
            <v>SPOR</v>
          </cell>
          <cell r="H864">
            <v>8.24</v>
          </cell>
          <cell r="I864">
            <v>0</v>
          </cell>
        </row>
        <row r="865">
          <cell r="B865" t="str">
            <v>0220811863971</v>
          </cell>
          <cell r="C865" t="str">
            <v>BACKYARD BIRDSONG GDE</v>
          </cell>
          <cell r="D865" t="str">
            <v>R</v>
          </cell>
          <cell r="E865" t="str">
            <v>CL</v>
          </cell>
          <cell r="F865" t="str">
            <v>Kroodsma, Donald</v>
          </cell>
          <cell r="G865" t="str">
            <v>NAT</v>
          </cell>
          <cell r="H865">
            <v>7.99</v>
          </cell>
          <cell r="I865">
            <v>0</v>
          </cell>
        </row>
        <row r="866">
          <cell r="B866" t="str">
            <v>0220811865456</v>
          </cell>
          <cell r="C866" t="str">
            <v>WHAT BROTHERS AND SISTERS DO B</v>
          </cell>
          <cell r="D866" t="str">
            <v>R</v>
          </cell>
          <cell r="E866" t="str">
            <v>CL</v>
          </cell>
          <cell r="F866" t="str">
            <v>Munsinger, Lynn ; Numeroff, Laura</v>
          </cell>
          <cell r="G866" t="str">
            <v>CHIL</v>
          </cell>
          <cell r="H866">
            <v>4.99</v>
          </cell>
          <cell r="I866">
            <v>0</v>
          </cell>
        </row>
        <row r="867">
          <cell r="B867" t="str">
            <v>0220811866552</v>
          </cell>
          <cell r="C867" t="str">
            <v>LITTLE OINK</v>
          </cell>
          <cell r="D867" t="str">
            <v>R</v>
          </cell>
          <cell r="E867" t="str">
            <v>CL</v>
          </cell>
          <cell r="F867" t="str">
            <v>Rosenthal, Amy Krouse ; Corace, Jen</v>
          </cell>
          <cell r="G867" t="str">
            <v>CHIL</v>
          </cell>
          <cell r="H867">
            <v>4.99</v>
          </cell>
          <cell r="I867">
            <v>0</v>
          </cell>
        </row>
        <row r="868">
          <cell r="B868" t="str">
            <v>0220811868266</v>
          </cell>
          <cell r="C868" t="str">
            <v>RIBS, CHOPS, STEAKS &amp; WINGS</v>
          </cell>
          <cell r="D868" t="str">
            <v>R</v>
          </cell>
          <cell r="E868" t="str">
            <v>CL</v>
          </cell>
          <cell r="F868" t="str">
            <v>Beisch, Leigh ; Lampe, Ray</v>
          </cell>
          <cell r="G868" t="str">
            <v>COOK</v>
          </cell>
          <cell r="H868">
            <v>5.99</v>
          </cell>
          <cell r="I868">
            <v>0</v>
          </cell>
        </row>
        <row r="869">
          <cell r="B869" t="str">
            <v>0220811868952</v>
          </cell>
          <cell r="C869" t="str">
            <v>JUST BETWEEN US</v>
          </cell>
          <cell r="D869" t="str">
            <v>R</v>
          </cell>
          <cell r="E869" t="str">
            <v>JN</v>
          </cell>
          <cell r="F869" t="str">
            <v>Jacobs, Meredith ; Jacobs, Sofie</v>
          </cell>
          <cell r="G869" t="str">
            <v>gift</v>
          </cell>
          <cell r="H869">
            <v>4.99</v>
          </cell>
          <cell r="I869">
            <v>0</v>
          </cell>
        </row>
        <row r="870">
          <cell r="B870" t="str">
            <v>0220811869843</v>
          </cell>
          <cell r="C870" t="str">
            <v>EVERYBODY PAINTS! THE LIVES AN</v>
          </cell>
          <cell r="D870" t="str">
            <v>R</v>
          </cell>
          <cell r="E870" t="str">
            <v>Cl</v>
          </cell>
          <cell r="F870" t="str">
            <v>Rubin, Susan Goldman</v>
          </cell>
          <cell r="G870" t="str">
            <v>CHIL</v>
          </cell>
          <cell r="H870">
            <v>5</v>
          </cell>
          <cell r="I870">
            <v>0</v>
          </cell>
        </row>
        <row r="871">
          <cell r="B871" t="str">
            <v>0220811869874</v>
          </cell>
          <cell r="C871" t="str">
            <v>SETTING THE SCENE</v>
          </cell>
          <cell r="D871" t="str">
            <v>R</v>
          </cell>
          <cell r="E871" t="str">
            <v>Cl</v>
          </cell>
          <cell r="F871" t="str">
            <v>MacLean, Fraser</v>
          </cell>
          <cell r="G871" t="str">
            <v>PERF</v>
          </cell>
          <cell r="H871">
            <v>18.25</v>
          </cell>
          <cell r="I871">
            <v>0</v>
          </cell>
        </row>
        <row r="872">
          <cell r="B872" t="str">
            <v>0220811870931</v>
          </cell>
          <cell r="C872" t="str">
            <v>TCM CLASSIC MOVIE CROSSWOR</v>
          </cell>
          <cell r="D872" t="str">
            <v>R</v>
          </cell>
          <cell r="E872" t="str">
            <v>JN</v>
          </cell>
          <cell r="F872" t="str">
            <v>Turner Classic Movies</v>
          </cell>
          <cell r="G872" t="str">
            <v>game</v>
          </cell>
          <cell r="H872">
            <v>3.24</v>
          </cell>
          <cell r="I872">
            <v>0</v>
          </cell>
        </row>
        <row r="873">
          <cell r="B873" t="str">
            <v>0220811871051</v>
          </cell>
          <cell r="C873" t="str">
            <v>MINI LUNCH NOTES</v>
          </cell>
          <cell r="D873" t="str">
            <v>R</v>
          </cell>
          <cell r="E873" t="str">
            <v>NC</v>
          </cell>
          <cell r="G873" t="str">
            <v>GIFT</v>
          </cell>
          <cell r="H873">
            <v>2.99</v>
          </cell>
          <cell r="I873">
            <v>0</v>
          </cell>
        </row>
        <row r="874">
          <cell r="B874" t="str">
            <v>0220811871068</v>
          </cell>
          <cell r="C874" t="str">
            <v>EARTHLING!</v>
          </cell>
          <cell r="D874" t="str">
            <v>R</v>
          </cell>
          <cell r="E874" t="str">
            <v>Cl</v>
          </cell>
          <cell r="F874" t="str">
            <v>Fearing, Mark ; Rummel, Tim</v>
          </cell>
          <cell r="G874" t="str">
            <v>CHIL</v>
          </cell>
          <cell r="H874">
            <v>6.75</v>
          </cell>
          <cell r="I874">
            <v>0</v>
          </cell>
        </row>
        <row r="875">
          <cell r="B875" t="str">
            <v>0220811871242</v>
          </cell>
          <cell r="C875" t="str">
            <v>WCS MARS</v>
          </cell>
          <cell r="D875" t="str">
            <v>R</v>
          </cell>
          <cell r="E875" t="str">
            <v>Cl</v>
          </cell>
          <cell r="F875" t="str">
            <v>Kahn, Hena ; Borgenicht, David ; Zubrin, Robert</v>
          </cell>
          <cell r="G875" t="str">
            <v>CHIL</v>
          </cell>
          <cell r="H875">
            <v>3.75</v>
          </cell>
          <cell r="I875">
            <v>0</v>
          </cell>
        </row>
        <row r="876">
          <cell r="B876" t="str">
            <v>0220811871587</v>
          </cell>
          <cell r="C876" t="str">
            <v>DADDY LOTTO</v>
          </cell>
          <cell r="D876" t="str">
            <v>R</v>
          </cell>
          <cell r="E876" t="str">
            <v>NP</v>
          </cell>
          <cell r="F876" t="str">
            <v>Sorensen, Rob</v>
          </cell>
          <cell r="G876" t="str">
            <v>hum</v>
          </cell>
          <cell r="H876">
            <v>2.99</v>
          </cell>
          <cell r="I876">
            <v>0</v>
          </cell>
        </row>
        <row r="877">
          <cell r="B877" t="str">
            <v>0220811872515</v>
          </cell>
          <cell r="C877" t="str">
            <v>PHOTOBOOTH DOGS</v>
          </cell>
          <cell r="D877" t="str">
            <v>R</v>
          </cell>
          <cell r="E877" t="str">
            <v>CL</v>
          </cell>
          <cell r="F877" t="str">
            <v>Woo, Cameron</v>
          </cell>
          <cell r="G877" t="str">
            <v>PET</v>
          </cell>
          <cell r="H877">
            <v>4.24</v>
          </cell>
          <cell r="I877">
            <v>0</v>
          </cell>
        </row>
        <row r="878">
          <cell r="B878" t="str">
            <v>0220811874106</v>
          </cell>
          <cell r="C878" t="str">
            <v>CITY WALKS: LONDON</v>
          </cell>
          <cell r="D878" t="str">
            <v>R</v>
          </cell>
          <cell r="E878" t="str">
            <v>DC</v>
          </cell>
          <cell r="F878" t="str">
            <v>Henry de Tessan, Christina</v>
          </cell>
          <cell r="G878" t="str">
            <v>GIFT</v>
          </cell>
          <cell r="H878">
            <v>3.99</v>
          </cell>
          <cell r="I878">
            <v>0</v>
          </cell>
        </row>
        <row r="879">
          <cell r="B879" t="str">
            <v>0220811874441</v>
          </cell>
          <cell r="C879" t="str">
            <v>GIRL'S WORLD</v>
          </cell>
          <cell r="D879" t="str">
            <v>R</v>
          </cell>
          <cell r="E879" t="str">
            <v>CL</v>
          </cell>
          <cell r="F879" t="str">
            <v>Paganelli, Jennifer</v>
          </cell>
          <cell r="G879" t="str">
            <v>CRAF</v>
          </cell>
          <cell r="H879">
            <v>7.49</v>
          </cell>
          <cell r="I879">
            <v>0</v>
          </cell>
        </row>
        <row r="880">
          <cell r="B880" t="str">
            <v>0220811874458</v>
          </cell>
          <cell r="C880" t="str">
            <v>HAPPY HOME</v>
          </cell>
          <cell r="D880" t="str">
            <v>R</v>
          </cell>
          <cell r="E880" t="str">
            <v>Cl</v>
          </cell>
          <cell r="F880" t="str">
            <v>Paganelli, Jennifer</v>
          </cell>
          <cell r="G880" t="str">
            <v>CRAF</v>
          </cell>
          <cell r="H880">
            <v>7.99</v>
          </cell>
          <cell r="I880">
            <v>0</v>
          </cell>
        </row>
        <row r="881">
          <cell r="B881" t="str">
            <v>0220811874540</v>
          </cell>
          <cell r="C881" t="str">
            <v>WHOOPIE PIES</v>
          </cell>
          <cell r="D881" t="str">
            <v>R</v>
          </cell>
          <cell r="E881" t="str">
            <v>CL</v>
          </cell>
          <cell r="F881" t="str">
            <v>Billingsley, Sarah ; Treadwell, Amy ; Achilleos, Antonis</v>
          </cell>
          <cell r="G881" t="str">
            <v>COOK</v>
          </cell>
          <cell r="H881">
            <v>4.99</v>
          </cell>
          <cell r="I881">
            <v>0</v>
          </cell>
        </row>
        <row r="882">
          <cell r="B882" t="str">
            <v>0220811874748</v>
          </cell>
          <cell r="C882" t="str">
            <v>INSTRUMENT</v>
          </cell>
          <cell r="D882" t="str">
            <v>R</v>
          </cell>
          <cell r="E882" t="str">
            <v>CL</v>
          </cell>
          <cell r="F882" t="str">
            <v>Graham, Pat</v>
          </cell>
          <cell r="G882" t="str">
            <v>MUSI</v>
          </cell>
          <cell r="H882">
            <v>8.49</v>
          </cell>
          <cell r="I882">
            <v>0</v>
          </cell>
        </row>
        <row r="883">
          <cell r="B883" t="str">
            <v>0220811875165</v>
          </cell>
          <cell r="C883" t="str">
            <v>SEA FLOWERS ECO-JOURNAL</v>
          </cell>
          <cell r="D883" t="str">
            <v>R</v>
          </cell>
          <cell r="E883" t="str">
            <v>JN</v>
          </cell>
          <cell r="F883" t="str">
            <v>Bliss, Jill</v>
          </cell>
          <cell r="G883" t="str">
            <v>GIFT</v>
          </cell>
          <cell r="H883">
            <v>3.24</v>
          </cell>
          <cell r="I883">
            <v>0</v>
          </cell>
        </row>
        <row r="884">
          <cell r="B884" t="str">
            <v>0220811875394</v>
          </cell>
          <cell r="C884" t="str">
            <v>BOTTEGA</v>
          </cell>
          <cell r="D884" t="str">
            <v>R</v>
          </cell>
          <cell r="E884" t="str">
            <v>CL</v>
          </cell>
          <cell r="F884" t="str">
            <v>Chiarello, Michael ; Krugger Spivack, Ann ; Sansone, Claudia</v>
          </cell>
          <cell r="G884" t="str">
            <v>COOK</v>
          </cell>
          <cell r="H884">
            <v>46</v>
          </cell>
          <cell r="I884">
            <v>0</v>
          </cell>
        </row>
        <row r="885">
          <cell r="B885" t="str">
            <v>0220811875417</v>
          </cell>
          <cell r="C885" t="str">
            <v>BEER</v>
          </cell>
          <cell r="D885" t="str">
            <v>R</v>
          </cell>
          <cell r="E885" t="str">
            <v>PB</v>
          </cell>
          <cell r="F885" t="str">
            <v>Becker, Dan ; Wilson, Lance</v>
          </cell>
          <cell r="G885" t="str">
            <v>ANTIQ</v>
          </cell>
          <cell r="H885">
            <v>5.99</v>
          </cell>
          <cell r="I885">
            <v>0</v>
          </cell>
        </row>
        <row r="886">
          <cell r="B886" t="str">
            <v>0220811876179</v>
          </cell>
          <cell r="C886" t="str">
            <v>ERIC CARLE BABY SHOWER THA</v>
          </cell>
          <cell r="D886" t="str">
            <v>R</v>
          </cell>
          <cell r="E886" t="str">
            <v>NC</v>
          </cell>
          <cell r="F886" t="str">
            <v>Carle, Eric</v>
          </cell>
          <cell r="G886" t="str">
            <v>GIFT</v>
          </cell>
          <cell r="H886">
            <v>2</v>
          </cell>
          <cell r="I886">
            <v>0</v>
          </cell>
        </row>
        <row r="887">
          <cell r="B887" t="str">
            <v>0220811876186</v>
          </cell>
          <cell r="C887" t="str">
            <v>ERIC CARLE BABY SHOWER INV</v>
          </cell>
          <cell r="D887" t="str">
            <v>R</v>
          </cell>
          <cell r="E887" t="str">
            <v>NC</v>
          </cell>
          <cell r="F887" t="str">
            <v>Carle, Eric</v>
          </cell>
          <cell r="G887" t="str">
            <v>GIFT</v>
          </cell>
          <cell r="H887">
            <v>2</v>
          </cell>
          <cell r="I887">
            <v>0</v>
          </cell>
        </row>
        <row r="888">
          <cell r="B888" t="str">
            <v>0220811877381</v>
          </cell>
          <cell r="C888" t="str">
            <v>MOROCCO</v>
          </cell>
          <cell r="D888" t="str">
            <v>R</v>
          </cell>
          <cell r="E888" t="str">
            <v>Cl</v>
          </cell>
          <cell r="F888" t="str">
            <v>Koehler, Jeff</v>
          </cell>
          <cell r="G888" t="str">
            <v>COOK</v>
          </cell>
          <cell r="H888">
            <v>8.74</v>
          </cell>
          <cell r="I888">
            <v>0</v>
          </cell>
        </row>
        <row r="889">
          <cell r="B889" t="str">
            <v>0220811878135</v>
          </cell>
          <cell r="C889" t="str">
            <v>MY MILK TOOF</v>
          </cell>
          <cell r="D889" t="str">
            <v>R</v>
          </cell>
          <cell r="E889" t="str">
            <v>CL</v>
          </cell>
          <cell r="F889" t="str">
            <v>Lee, Inhae</v>
          </cell>
          <cell r="G889" t="str">
            <v>COMI</v>
          </cell>
          <cell r="H889">
            <v>4.74</v>
          </cell>
          <cell r="I889">
            <v>0</v>
          </cell>
        </row>
        <row r="890">
          <cell r="B890" t="str">
            <v>0220811878647</v>
          </cell>
          <cell r="C890" t="str">
            <v>MAMA'S BIG BOOK OF LITTLE LIFE</v>
          </cell>
          <cell r="D890" t="str">
            <v>R</v>
          </cell>
          <cell r="E890" t="str">
            <v>CL</v>
          </cell>
          <cell r="F890" t="str">
            <v>Colburn, Kerry</v>
          </cell>
          <cell r="G890" t="str">
            <v>FAMI</v>
          </cell>
          <cell r="H890">
            <v>3.99</v>
          </cell>
          <cell r="I890">
            <v>0</v>
          </cell>
        </row>
        <row r="891">
          <cell r="B891" t="str">
            <v>0220811879255</v>
          </cell>
          <cell r="C891" t="str">
            <v>NEW YORK</v>
          </cell>
          <cell r="D891" t="str">
            <v>R</v>
          </cell>
          <cell r="E891" t="str">
            <v>Cl</v>
          </cell>
          <cell r="F891" t="str">
            <v>Colombo, Jorge ; Niemann, Christoph ; Bekman, Jen</v>
          </cell>
          <cell r="G891" t="str">
            <v>ARTS</v>
          </cell>
          <cell r="H891">
            <v>4.99</v>
          </cell>
          <cell r="I891">
            <v>0</v>
          </cell>
        </row>
        <row r="892">
          <cell r="B892" t="str">
            <v>0220811879293</v>
          </cell>
          <cell r="C892" t="str">
            <v>MOM &amp; ME KNITS</v>
          </cell>
          <cell r="D892" t="str">
            <v>R</v>
          </cell>
          <cell r="E892" t="str">
            <v>Cl</v>
          </cell>
          <cell r="F892" t="str">
            <v>Japel, Stefanie</v>
          </cell>
          <cell r="G892" t="str">
            <v>CRAF</v>
          </cell>
          <cell r="H892">
            <v>6.99</v>
          </cell>
          <cell r="I892">
            <v>0</v>
          </cell>
        </row>
        <row r="893">
          <cell r="B893" t="str">
            <v>0220811879699</v>
          </cell>
          <cell r="C893" t="str">
            <v>POULET</v>
          </cell>
          <cell r="D893" t="str">
            <v>R</v>
          </cell>
          <cell r="E893" t="str">
            <v>Cl</v>
          </cell>
          <cell r="F893" t="str">
            <v>LeFavour, Cree</v>
          </cell>
          <cell r="G893" t="str">
            <v>COOK</v>
          </cell>
          <cell r="H893">
            <v>7.99</v>
          </cell>
          <cell r="I893">
            <v>0</v>
          </cell>
        </row>
        <row r="894">
          <cell r="B894" t="str">
            <v>0220898868876</v>
          </cell>
          <cell r="C894" t="str">
            <v>KISS OR KILL</v>
          </cell>
          <cell r="D894" t="str">
            <v>R</v>
          </cell>
          <cell r="E894" t="str">
            <v>PB</v>
          </cell>
          <cell r="F894" t="str">
            <v>Twight, Mark</v>
          </cell>
          <cell r="G894" t="str">
            <v>SPOR</v>
          </cell>
          <cell r="H894">
            <v>5.99</v>
          </cell>
          <cell r="I894">
            <v>0</v>
          </cell>
        </row>
        <row r="895">
          <cell r="B895" t="str">
            <v>0221401907228</v>
          </cell>
          <cell r="C895" t="str">
            <v>INSPIRATION</v>
          </cell>
          <cell r="D895" t="str">
            <v>R</v>
          </cell>
          <cell r="E895" t="str">
            <v>PB</v>
          </cell>
          <cell r="F895" t="str">
            <v>Dyer, Wayne W.</v>
          </cell>
          <cell r="G895" t="str">
            <v>SELF</v>
          </cell>
          <cell r="H895">
            <v>3.99</v>
          </cell>
          <cell r="I895">
            <v>0</v>
          </cell>
        </row>
        <row r="896">
          <cell r="B896" t="str">
            <v>0221401910273</v>
          </cell>
          <cell r="C896" t="str">
            <v>ENLIGHTENMENT CARDS</v>
          </cell>
          <cell r="D896" t="str">
            <v>R</v>
          </cell>
          <cell r="E896" t="str">
            <v>DC</v>
          </cell>
          <cell r="F896" t="str">
            <v>Renard, Gary R.</v>
          </cell>
          <cell r="G896" t="str">
            <v>GIFT</v>
          </cell>
          <cell r="H896">
            <v>4.99</v>
          </cell>
          <cell r="I896">
            <v>0</v>
          </cell>
        </row>
        <row r="897">
          <cell r="B897" t="str">
            <v>0221401910389</v>
          </cell>
          <cell r="C897" t="str">
            <v>BEING IN BALANCE</v>
          </cell>
          <cell r="D897" t="str">
            <v>R</v>
          </cell>
          <cell r="E897" t="str">
            <v>CL</v>
          </cell>
          <cell r="F897" t="str">
            <v>Dyer, Wayne W.</v>
          </cell>
          <cell r="G897" t="str">
            <v>SELF</v>
          </cell>
          <cell r="H897">
            <v>3.74</v>
          </cell>
          <cell r="I897">
            <v>318</v>
          </cell>
        </row>
        <row r="898">
          <cell r="B898" t="str">
            <v>0221401920654</v>
          </cell>
          <cell r="C898" t="str">
            <v>FRACTAL TIME</v>
          </cell>
          <cell r="D898" t="str">
            <v>R</v>
          </cell>
          <cell r="E898" t="str">
            <v>PB</v>
          </cell>
          <cell r="F898" t="str">
            <v>Braden, Gregg</v>
          </cell>
          <cell r="G898" t="str">
            <v>NWAGE</v>
          </cell>
          <cell r="H898">
            <v>3.99</v>
          </cell>
          <cell r="I898">
            <v>0</v>
          </cell>
        </row>
        <row r="899">
          <cell r="B899" t="str">
            <v>0221401922948</v>
          </cell>
          <cell r="C899" t="str">
            <v>EXCUSES BEGONE!</v>
          </cell>
          <cell r="D899" t="str">
            <v>R</v>
          </cell>
          <cell r="E899" t="str">
            <v>PB</v>
          </cell>
          <cell r="F899" t="str">
            <v>Dyer, Wayne W.</v>
          </cell>
          <cell r="G899" t="str">
            <v>SELF</v>
          </cell>
          <cell r="H899">
            <v>3.99</v>
          </cell>
          <cell r="I899">
            <v>0</v>
          </cell>
        </row>
        <row r="900">
          <cell r="B900" t="str">
            <v>0221401925598</v>
          </cell>
          <cell r="C900" t="str">
            <v>DAILYOM</v>
          </cell>
          <cell r="D900" t="str">
            <v>R</v>
          </cell>
          <cell r="E900" t="str">
            <v>PB</v>
          </cell>
          <cell r="F900" t="str">
            <v>Taylor, Madisyn</v>
          </cell>
          <cell r="G900" t="str">
            <v>SELF</v>
          </cell>
          <cell r="H900">
            <v>4.99</v>
          </cell>
          <cell r="I900">
            <v>0</v>
          </cell>
        </row>
        <row r="901">
          <cell r="B901" t="str">
            <v>0221401925963</v>
          </cell>
          <cell r="C901" t="str">
            <v>POWER OF INTENTION</v>
          </cell>
          <cell r="D901" t="str">
            <v>R</v>
          </cell>
          <cell r="E901" t="str">
            <v>PB</v>
          </cell>
          <cell r="F901" t="str">
            <v>Dyer, Wayne W.</v>
          </cell>
          <cell r="G901" t="str">
            <v>SELF</v>
          </cell>
          <cell r="H901">
            <v>5.99</v>
          </cell>
          <cell r="I901">
            <v>0</v>
          </cell>
        </row>
        <row r="902">
          <cell r="B902" t="str">
            <v>0221401926540</v>
          </cell>
          <cell r="C902" t="str">
            <v>SIMPLY.EMPOWERED! </v>
          </cell>
          <cell r="D902" t="str">
            <v>r</v>
          </cell>
          <cell r="E902" t="str">
            <v>PB</v>
          </cell>
          <cell r="F902" t="str">
            <v>Andrus, Crystal</v>
          </cell>
          <cell r="G902" t="str">
            <v>SELF</v>
          </cell>
          <cell r="H902">
            <v>3.74</v>
          </cell>
          <cell r="I902">
            <v>0</v>
          </cell>
        </row>
        <row r="903">
          <cell r="B903" t="str">
            <v>0221401927097</v>
          </cell>
          <cell r="C903" t="str">
            <v>SHIFT</v>
          </cell>
          <cell r="D903" t="str">
            <v>R</v>
          </cell>
          <cell r="E903" t="str">
            <v>CL</v>
          </cell>
          <cell r="F903" t="str">
            <v>Dyer, Wayne W.</v>
          </cell>
          <cell r="G903" t="str">
            <v>SELF</v>
          </cell>
          <cell r="H903">
            <v>4.99</v>
          </cell>
          <cell r="I903">
            <v>177</v>
          </cell>
        </row>
        <row r="904">
          <cell r="B904" t="str">
            <v>0221401927127</v>
          </cell>
          <cell r="C904" t="str">
            <v>MANOPAUSE</v>
          </cell>
          <cell r="D904" t="str">
            <v>R</v>
          </cell>
          <cell r="E904" t="str">
            <v>PB</v>
          </cell>
          <cell r="F904" t="str">
            <v>Friedman Bloch, Lisa ; Kirtland Silverman, Kathy</v>
          </cell>
          <cell r="G904" t="str">
            <v>SELF</v>
          </cell>
          <cell r="H904">
            <v>4.99</v>
          </cell>
          <cell r="I904">
            <v>0</v>
          </cell>
        </row>
        <row r="905">
          <cell r="B905" t="str">
            <v>0221401928124</v>
          </cell>
          <cell r="C905" t="str">
            <v>FOOL'S WISDOM ORACLE CARDS</v>
          </cell>
          <cell r="D905" t="str">
            <v>R</v>
          </cell>
          <cell r="E905" t="str">
            <v>Dc</v>
          </cell>
          <cell r="F905" t="str">
            <v>Choquette, Sonia</v>
          </cell>
          <cell r="G905" t="str">
            <v>NWAGE</v>
          </cell>
          <cell r="H905">
            <v>4.99</v>
          </cell>
          <cell r="I905">
            <v>0</v>
          </cell>
        </row>
        <row r="906">
          <cell r="B906" t="str">
            <v>0221401929091</v>
          </cell>
          <cell r="C906" t="str">
            <v>RESONANCE</v>
          </cell>
          <cell r="D906" t="str">
            <v>R</v>
          </cell>
          <cell r="E906" t="str">
            <v>PB</v>
          </cell>
          <cell r="F906" t="str">
            <v>Hawkes, Joyce</v>
          </cell>
          <cell r="G906" t="str">
            <v>NWAGE</v>
          </cell>
          <cell r="H906">
            <v>3.99</v>
          </cell>
          <cell r="I906">
            <v>0</v>
          </cell>
        </row>
        <row r="907">
          <cell r="B907" t="str">
            <v>0221401930738</v>
          </cell>
          <cell r="C907" t="str">
            <v>UNBINDING THE HEART</v>
          </cell>
          <cell r="D907" t="str">
            <v>R</v>
          </cell>
          <cell r="E907" t="str">
            <v>CL</v>
          </cell>
          <cell r="F907" t="str">
            <v>Stassinopoulos, Agapi</v>
          </cell>
          <cell r="G907" t="str">
            <v>SELF</v>
          </cell>
          <cell r="H907">
            <v>4.99</v>
          </cell>
          <cell r="I907">
            <v>0</v>
          </cell>
        </row>
        <row r="908">
          <cell r="B908" t="str">
            <v>0221401931469</v>
          </cell>
          <cell r="C908" t="str">
            <v>GREAT SEX, NATURALLY</v>
          </cell>
          <cell r="D908" t="str">
            <v>R</v>
          </cell>
          <cell r="E908" t="str">
            <v>PB</v>
          </cell>
          <cell r="F908" t="str">
            <v>Steelsmith, Laurie ; Steelsmith, Alex</v>
          </cell>
          <cell r="G908" t="str">
            <v>HEAL</v>
          </cell>
          <cell r="H908">
            <v>4.99</v>
          </cell>
          <cell r="I908">
            <v>0</v>
          </cell>
        </row>
        <row r="909">
          <cell r="B909" t="str">
            <v>0221401931759</v>
          </cell>
          <cell r="C909" t="str">
            <v>RETURNING TO THE LAKOTA WAY</v>
          </cell>
          <cell r="D909" t="str">
            <v>R</v>
          </cell>
          <cell r="E909" t="str">
            <v>CL</v>
          </cell>
          <cell r="F909" t="str">
            <v>Marshall, Joseph M.</v>
          </cell>
          <cell r="G909" t="str">
            <v>SOC</v>
          </cell>
          <cell r="H909">
            <v>4.99</v>
          </cell>
          <cell r="I909">
            <v>151</v>
          </cell>
        </row>
        <row r="910">
          <cell r="B910" t="str">
            <v>0221401935030</v>
          </cell>
          <cell r="C910" t="str">
            <v>ALL IS WELL</v>
          </cell>
          <cell r="D910" t="str">
            <v>R</v>
          </cell>
          <cell r="E910" t="str">
            <v>CD</v>
          </cell>
          <cell r="F910" t="str">
            <v>Hay, Louise ; Schulz, Mona Lisa</v>
          </cell>
          <cell r="G910" t="str">
            <v>NWAGE</v>
          </cell>
          <cell r="H910">
            <v>7.99</v>
          </cell>
          <cell r="I910">
            <v>0</v>
          </cell>
        </row>
        <row r="911">
          <cell r="B911" t="str">
            <v>0221401935283</v>
          </cell>
          <cell r="C911" t="str">
            <v>THROUGH INDIGO'S EYES</v>
          </cell>
          <cell r="D911" t="str">
            <v>R</v>
          </cell>
          <cell r="E911" t="str">
            <v>pb</v>
          </cell>
          <cell r="F911" t="str">
            <v>Taylor, Tara ; Schultz Nicholson, Lorna</v>
          </cell>
          <cell r="G911" t="str">
            <v>FICT</v>
          </cell>
          <cell r="H911">
            <v>4.99</v>
          </cell>
          <cell r="I911">
            <v>0</v>
          </cell>
        </row>
        <row r="912">
          <cell r="B912" t="str">
            <v>0221401935306</v>
          </cell>
          <cell r="C912" t="str">
            <v>BECOMING INDIGO</v>
          </cell>
          <cell r="D912" t="str">
            <v>R</v>
          </cell>
          <cell r="E912" t="str">
            <v>PB</v>
          </cell>
          <cell r="F912" t="str">
            <v>Taylor, Tara ; Schultz Nicholson, Lorna</v>
          </cell>
          <cell r="G912" t="str">
            <v>FICT</v>
          </cell>
          <cell r="H912">
            <v>3.99</v>
          </cell>
          <cell r="I912">
            <v>0</v>
          </cell>
        </row>
        <row r="913">
          <cell r="B913" t="str">
            <v>0221401935474</v>
          </cell>
          <cell r="C913" t="str">
            <v>BODY ECOLOGY GDE TO GROWING YO</v>
          </cell>
          <cell r="D913" t="str">
            <v>R</v>
          </cell>
          <cell r="E913" t="str">
            <v>PB</v>
          </cell>
          <cell r="F913" t="str">
            <v>Gates, Donna ; Schrecengost, Lyndi</v>
          </cell>
          <cell r="G913" t="str">
            <v>SELF</v>
          </cell>
          <cell r="H913">
            <v>3.99</v>
          </cell>
          <cell r="I913">
            <v>0</v>
          </cell>
        </row>
        <row r="914">
          <cell r="B914" t="str">
            <v>0221401935566</v>
          </cell>
          <cell r="C914" t="str">
            <v>BELIEF RE-PATTERNING</v>
          </cell>
          <cell r="D914" t="str">
            <v>R</v>
          </cell>
          <cell r="E914" t="str">
            <v>PB</v>
          </cell>
          <cell r="F914" t="str">
            <v>Casey, Suze</v>
          </cell>
          <cell r="G914" t="str">
            <v>SELF</v>
          </cell>
          <cell r="H914">
            <v>4.99</v>
          </cell>
          <cell r="I914">
            <v>0</v>
          </cell>
        </row>
        <row r="915">
          <cell r="B915" t="str">
            <v>0221401935863</v>
          </cell>
          <cell r="C915" t="str">
            <v>SOUL-CENTERED</v>
          </cell>
          <cell r="D915" t="str">
            <v>R</v>
          </cell>
          <cell r="E915" t="str">
            <v>PB</v>
          </cell>
          <cell r="F915" t="str">
            <v>McLean, Sarah</v>
          </cell>
          <cell r="G915" t="str">
            <v>SELF</v>
          </cell>
          <cell r="H915">
            <v>4.99</v>
          </cell>
          <cell r="I915">
            <v>0</v>
          </cell>
        </row>
        <row r="916">
          <cell r="B916" t="str">
            <v>0221401937942</v>
          </cell>
          <cell r="C916" t="str">
            <v>UNITED BREAKS GUITARS</v>
          </cell>
          <cell r="D916" t="str">
            <v>R</v>
          </cell>
          <cell r="E916" t="str">
            <v>PB</v>
          </cell>
          <cell r="F916" t="str">
            <v>Carroll, Dave</v>
          </cell>
          <cell r="G916" t="str">
            <v>SELF</v>
          </cell>
          <cell r="H916">
            <v>3.99</v>
          </cell>
          <cell r="I916">
            <v>0</v>
          </cell>
        </row>
        <row r="917">
          <cell r="B917" t="str">
            <v>0221401937973</v>
          </cell>
          <cell r="C917" t="str">
            <v>ACTIVATE YOUR GOODNESS</v>
          </cell>
          <cell r="D917" t="str">
            <v>R</v>
          </cell>
          <cell r="E917" t="str">
            <v>CL</v>
          </cell>
          <cell r="F917" t="str">
            <v>Arison, Shari</v>
          </cell>
          <cell r="G917" t="str">
            <v>SELF</v>
          </cell>
          <cell r="H917">
            <v>3.99</v>
          </cell>
          <cell r="I917">
            <v>0</v>
          </cell>
        </row>
        <row r="918">
          <cell r="B918" t="str">
            <v>0221401938772</v>
          </cell>
          <cell r="C918" t="str">
            <v>QUEST</v>
          </cell>
          <cell r="D918" t="str">
            <v>R</v>
          </cell>
          <cell r="E918" t="str">
            <v>PB</v>
          </cell>
          <cell r="F918" t="str">
            <v>Linn, Denise ; Linn, Meadow</v>
          </cell>
          <cell r="G918" t="str">
            <v>NWAGE</v>
          </cell>
          <cell r="H918">
            <v>3.99</v>
          </cell>
          <cell r="I918">
            <v>0</v>
          </cell>
        </row>
        <row r="919">
          <cell r="B919" t="str">
            <v>0221401938949</v>
          </cell>
          <cell r="C919" t="str">
            <v>ENTANGLED IN DARKNESS</v>
          </cell>
          <cell r="D919" t="str">
            <v>R</v>
          </cell>
          <cell r="E919" t="str">
            <v>CL</v>
          </cell>
          <cell r="F919" t="str">
            <v>King, Deborah</v>
          </cell>
          <cell r="G919" t="str">
            <v>NWAGE</v>
          </cell>
          <cell r="H919">
            <v>4.99</v>
          </cell>
          <cell r="I919">
            <v>0</v>
          </cell>
        </row>
        <row r="920">
          <cell r="B920" t="str">
            <v>0221401940027</v>
          </cell>
          <cell r="C920" t="str">
            <v>HUNGRY</v>
          </cell>
          <cell r="D920" t="str">
            <v>R</v>
          </cell>
          <cell r="E920" t="str">
            <v>CL</v>
          </cell>
          <cell r="F920" t="str">
            <v>Smith, Robin L</v>
          </cell>
          <cell r="G920" t="str">
            <v>SELF</v>
          </cell>
          <cell r="H920">
            <v>6.99</v>
          </cell>
          <cell r="I920">
            <v>0</v>
          </cell>
        </row>
        <row r="921">
          <cell r="B921" t="str">
            <v>0221401940508</v>
          </cell>
          <cell r="C921" t="str">
            <v>BELLY FAT CURE SUGAR &amp; CARB CO</v>
          </cell>
          <cell r="D921" t="str">
            <v>R</v>
          </cell>
          <cell r="E921" t="str">
            <v>PB</v>
          </cell>
          <cell r="F921" t="str">
            <v>Cruise, Jorge</v>
          </cell>
          <cell r="G921" t="str">
            <v>HEAL</v>
          </cell>
          <cell r="H921">
            <v>1.99</v>
          </cell>
          <cell r="I921">
            <v>0</v>
          </cell>
        </row>
        <row r="922">
          <cell r="B922" t="str">
            <v>0221401940638</v>
          </cell>
          <cell r="C922" t="str">
            <v>RICH AND THE REST OF US</v>
          </cell>
          <cell r="D922" t="str">
            <v>R</v>
          </cell>
          <cell r="E922" t="str">
            <v>PB</v>
          </cell>
          <cell r="F922" t="str">
            <v>Smiley, Tavis ; West, Cornel</v>
          </cell>
          <cell r="G922" t="str">
            <v>PHILO</v>
          </cell>
          <cell r="H922">
            <v>2.99</v>
          </cell>
          <cell r="I922">
            <v>0</v>
          </cell>
        </row>
        <row r="923">
          <cell r="B923" t="str">
            <v>0221401941024</v>
          </cell>
          <cell r="C923" t="str">
            <v>SECOND RULE OF TEN</v>
          </cell>
          <cell r="D923" t="str">
            <v>R</v>
          </cell>
          <cell r="E923" t="str">
            <v>PB</v>
          </cell>
          <cell r="F923" t="str">
            <v>Lindsay, Tinker</v>
          </cell>
          <cell r="G923" t="str">
            <v>FICT</v>
          </cell>
          <cell r="H923">
            <v>3.99</v>
          </cell>
          <cell r="I923">
            <v>0</v>
          </cell>
        </row>
        <row r="924">
          <cell r="B924" t="str">
            <v>0221401941239</v>
          </cell>
          <cell r="C924" t="str">
            <v>FOR THE SENDER: LOVE IS (NOT A</v>
          </cell>
          <cell r="D924" t="str">
            <v>R</v>
          </cell>
          <cell r="E924" t="str">
            <v>BI</v>
          </cell>
          <cell r="F924" t="str">
            <v>Woodard, Alex</v>
          </cell>
          <cell r="G924" t="str">
            <v>BIOG</v>
          </cell>
          <cell r="H924">
            <v>4.99</v>
          </cell>
          <cell r="I924">
            <v>0</v>
          </cell>
        </row>
        <row r="925">
          <cell r="B925" t="str">
            <v>0221401941604</v>
          </cell>
          <cell r="C925" t="str">
            <v>REMEMBERING PROCESS</v>
          </cell>
          <cell r="D925" t="str">
            <v>r</v>
          </cell>
          <cell r="E925" t="str">
            <v>PB</v>
          </cell>
          <cell r="F925" t="str">
            <v>Barrett, Daniel ; Vitale, Joe ; Hendricks, Gay</v>
          </cell>
          <cell r="G925" t="str">
            <v>SELF</v>
          </cell>
          <cell r="H925">
            <v>3.75</v>
          </cell>
          <cell r="I925">
            <v>59</v>
          </cell>
        </row>
        <row r="926">
          <cell r="B926" t="str">
            <v>0221401942748</v>
          </cell>
          <cell r="C926" t="str">
            <v>IS IT ME OR MY HORMONES?</v>
          </cell>
          <cell r="D926" t="str">
            <v>R</v>
          </cell>
          <cell r="E926" t="str">
            <v>CL</v>
          </cell>
          <cell r="F926" t="str">
            <v>Pick, Marcelle</v>
          </cell>
          <cell r="G926" t="str">
            <v>HEAL</v>
          </cell>
          <cell r="H926">
            <v>6.99</v>
          </cell>
          <cell r="I926">
            <v>0</v>
          </cell>
        </row>
        <row r="927">
          <cell r="B927" t="str">
            <v>0221401942762</v>
          </cell>
          <cell r="C927" t="str">
            <v>IS IT ME OR MY HORMONES?</v>
          </cell>
          <cell r="D927" t="str">
            <v>R</v>
          </cell>
          <cell r="E927" t="str">
            <v>PB</v>
          </cell>
          <cell r="F927" t="str">
            <v>Pick, Marcelle</v>
          </cell>
          <cell r="G927" t="str">
            <v>HEAL</v>
          </cell>
          <cell r="H927">
            <v>4.24</v>
          </cell>
          <cell r="I927">
            <v>0</v>
          </cell>
        </row>
        <row r="928">
          <cell r="B928" t="str">
            <v>0221401942878</v>
          </cell>
          <cell r="C928" t="str">
            <v>IS IT ME OR MY ADRENALS?</v>
          </cell>
          <cell r="D928" t="str">
            <v>R</v>
          </cell>
          <cell r="E928" t="str">
            <v>PB</v>
          </cell>
          <cell r="F928" t="str">
            <v>Pick, Marcelle</v>
          </cell>
          <cell r="G928" t="str">
            <v>HEAL</v>
          </cell>
          <cell r="H928">
            <v>4.99</v>
          </cell>
          <cell r="I928">
            <v>0</v>
          </cell>
        </row>
        <row r="929">
          <cell r="B929" t="str">
            <v>0221401942892</v>
          </cell>
          <cell r="C929" t="str">
            <v>CORE BALANCE DIET</v>
          </cell>
          <cell r="D929" t="str">
            <v>R</v>
          </cell>
          <cell r="E929" t="str">
            <v>PB</v>
          </cell>
          <cell r="F929" t="str">
            <v>Pick, Marcelle</v>
          </cell>
          <cell r="G929" t="str">
            <v>HEAL</v>
          </cell>
          <cell r="H929">
            <v>4.99</v>
          </cell>
          <cell r="I929">
            <v>0</v>
          </cell>
        </row>
        <row r="930">
          <cell r="B930" t="str">
            <v>0221401942960</v>
          </cell>
          <cell r="C930" t="str">
            <v>SOLOMON SPEAKS ON RECONNECTING</v>
          </cell>
          <cell r="D930" t="str">
            <v>R</v>
          </cell>
          <cell r="E930" t="str">
            <v>CL</v>
          </cell>
          <cell r="F930" t="str">
            <v>Pearl, Eric ; Ponzlov, Frederick</v>
          </cell>
          <cell r="G930" t="str">
            <v>SELF</v>
          </cell>
          <cell r="H930">
            <v>6.24</v>
          </cell>
          <cell r="I930">
            <v>0</v>
          </cell>
        </row>
        <row r="931">
          <cell r="B931" t="str">
            <v>0221401943004</v>
          </cell>
          <cell r="C931" t="str">
            <v>SECRET FEMALE HORMONE</v>
          </cell>
          <cell r="D931" t="str">
            <v>r</v>
          </cell>
          <cell r="E931" t="str">
            <v>PB</v>
          </cell>
          <cell r="F931" t="str">
            <v>Maupin, Kathy C. ; Newcomb, Brett</v>
          </cell>
          <cell r="G931" t="str">
            <v>HEAL</v>
          </cell>
          <cell r="H931">
            <v>3.75</v>
          </cell>
          <cell r="I931">
            <v>57</v>
          </cell>
        </row>
        <row r="932">
          <cell r="B932" t="str">
            <v>0221401943097</v>
          </cell>
          <cell r="C932" t="str">
            <v>LIFE'S OPERATING MANUAL</v>
          </cell>
          <cell r="D932" t="str">
            <v>R</v>
          </cell>
          <cell r="E932" t="str">
            <v>CL</v>
          </cell>
          <cell r="F932" t="str">
            <v>Shadyac, Tom</v>
          </cell>
          <cell r="G932" t="str">
            <v>SELF</v>
          </cell>
          <cell r="H932">
            <v>4.99</v>
          </cell>
          <cell r="I932">
            <v>0</v>
          </cell>
        </row>
        <row r="933">
          <cell r="B933" t="str">
            <v>0221401943233</v>
          </cell>
          <cell r="C933" t="str">
            <v>TIMEWATCH</v>
          </cell>
          <cell r="D933" t="str">
            <v>R</v>
          </cell>
          <cell r="E933" t="str">
            <v>PB</v>
          </cell>
          <cell r="F933" t="str">
            <v>Grant, Linda</v>
          </cell>
          <cell r="G933" t="str">
            <v>NWAGE</v>
          </cell>
          <cell r="H933">
            <v>3.99</v>
          </cell>
          <cell r="I933">
            <v>108</v>
          </cell>
        </row>
        <row r="934">
          <cell r="B934" t="str">
            <v>0221401943295</v>
          </cell>
          <cell r="C934" t="str">
            <v>HAPPY HORMONES, SLIM BELLY</v>
          </cell>
          <cell r="D934" t="str">
            <v>R</v>
          </cell>
          <cell r="E934" t="str">
            <v>CL</v>
          </cell>
          <cell r="F934" t="str">
            <v>Cruise, Jorge</v>
          </cell>
          <cell r="G934" t="str">
            <v>HEAL</v>
          </cell>
          <cell r="H934">
            <v>5.99</v>
          </cell>
          <cell r="I934">
            <v>33</v>
          </cell>
        </row>
        <row r="935">
          <cell r="B935" t="str">
            <v>0221401943387</v>
          </cell>
          <cell r="C935" t="str">
            <v>CHOICES AND ILLUSIONS</v>
          </cell>
          <cell r="D935" t="str">
            <v>R</v>
          </cell>
          <cell r="E935" t="str">
            <v>CL</v>
          </cell>
          <cell r="F935" t="str">
            <v>Taylor, Eldon ; Enescu, Cristian</v>
          </cell>
          <cell r="G935" t="str">
            <v>NWAGE</v>
          </cell>
          <cell r="H935">
            <v>5.99</v>
          </cell>
          <cell r="I935">
            <v>284</v>
          </cell>
        </row>
        <row r="936">
          <cell r="B936" t="str">
            <v>0221401943745</v>
          </cell>
          <cell r="C936" t="str">
            <v>ABUNDANCE LOOP</v>
          </cell>
          <cell r="D936" t="str">
            <v>r</v>
          </cell>
          <cell r="E936" t="str">
            <v>PB</v>
          </cell>
          <cell r="F936" t="str">
            <v>Park, Juliana</v>
          </cell>
          <cell r="G936" t="str">
            <v>BUSI</v>
          </cell>
          <cell r="H936">
            <v>3.99</v>
          </cell>
          <cell r="I936">
            <v>31</v>
          </cell>
        </row>
        <row r="937">
          <cell r="B937" t="str">
            <v>0221401944148</v>
          </cell>
          <cell r="C937" t="str">
            <v>BOOK OF AFFORMATIONS</v>
          </cell>
          <cell r="D937" t="str">
            <v>R</v>
          </cell>
          <cell r="E937" t="str">
            <v>CL</v>
          </cell>
          <cell r="F937" t="str">
            <v>St. John, Noah ; Assaraf, John</v>
          </cell>
          <cell r="G937" t="str">
            <v>SELF</v>
          </cell>
          <cell r="H937">
            <v>4.99</v>
          </cell>
          <cell r="I937">
            <v>0</v>
          </cell>
        </row>
        <row r="938">
          <cell r="B938" t="str">
            <v>0221401944414</v>
          </cell>
          <cell r="C938" t="str">
            <v>WOO-HOO ... CHRIS P. IS 2!</v>
          </cell>
          <cell r="D938" t="str">
            <v>R</v>
          </cell>
          <cell r="E938" t="str">
            <v>CL</v>
          </cell>
          <cell r="F938" t="str">
            <v>Lucero, Len ; Tracy, Kristina</v>
          </cell>
          <cell r="G938" t="str">
            <v>CHIL</v>
          </cell>
          <cell r="H938">
            <v>2.99</v>
          </cell>
          <cell r="I938">
            <v>47</v>
          </cell>
        </row>
        <row r="939">
          <cell r="B939" t="str">
            <v>0221401944506</v>
          </cell>
          <cell r="C939" t="str">
            <v>INTERNET TO THE INNER-NET</v>
          </cell>
          <cell r="D939" t="str">
            <v>R</v>
          </cell>
          <cell r="E939" t="str">
            <v>CL</v>
          </cell>
          <cell r="F939" t="str">
            <v>Kallayil, Gopi</v>
          </cell>
          <cell r="G939" t="str">
            <v>SELF</v>
          </cell>
          <cell r="H939">
            <v>5.99</v>
          </cell>
          <cell r="I939">
            <v>1039</v>
          </cell>
        </row>
        <row r="940">
          <cell r="B940" t="str">
            <v>0221401945633</v>
          </cell>
          <cell r="C940" t="str">
            <v>MORE THAN YOU SEE</v>
          </cell>
          <cell r="D940" t="str">
            <v>R</v>
          </cell>
          <cell r="E940" t="str">
            <v>DV</v>
          </cell>
          <cell r="F940" t="str">
            <v>Hicks, Esther</v>
          </cell>
          <cell r="G940" t="str">
            <v>NWAGE</v>
          </cell>
          <cell r="H940">
            <v>6.99</v>
          </cell>
          <cell r="I940">
            <v>23</v>
          </cell>
        </row>
        <row r="941">
          <cell r="B941" t="str">
            <v>0221401945763</v>
          </cell>
          <cell r="C941" t="str">
            <v>PEOPLE OF THE GREAT JOURNEY</v>
          </cell>
          <cell r="D941" t="str">
            <v>R</v>
          </cell>
          <cell r="E941" t="str">
            <v>PB</v>
          </cell>
          <cell r="F941" t="str">
            <v>Melling, O.R.</v>
          </cell>
          <cell r="G941" t="str">
            <v>FICT</v>
          </cell>
          <cell r="H941">
            <v>3.74</v>
          </cell>
          <cell r="I941">
            <v>0</v>
          </cell>
        </row>
        <row r="942">
          <cell r="B942" t="str">
            <v>0221401946340</v>
          </cell>
          <cell r="C942" t="str">
            <v>FALLING UP</v>
          </cell>
          <cell r="D942" t="str">
            <v>R</v>
          </cell>
          <cell r="E942" t="str">
            <v>CL</v>
          </cell>
          <cell r="F942" t="str">
            <v>Liesegang, Dana ; Stoynoff, Natasha</v>
          </cell>
          <cell r="G942" t="str">
            <v>BIOG</v>
          </cell>
          <cell r="H942">
            <v>5.99</v>
          </cell>
          <cell r="I942">
            <v>671</v>
          </cell>
        </row>
        <row r="943">
          <cell r="B943" t="str">
            <v>0221401946401</v>
          </cell>
          <cell r="C943" t="str">
            <v>REAL FOOD REVOLUTION</v>
          </cell>
          <cell r="D943" t="str">
            <v>r</v>
          </cell>
          <cell r="E943" t="str">
            <v>PB</v>
          </cell>
          <cell r="F943" t="str">
            <v>Ryan, Tim</v>
          </cell>
          <cell r="G943" t="str">
            <v>HEAL</v>
          </cell>
          <cell r="H943">
            <v>3.75</v>
          </cell>
          <cell r="I943">
            <v>31</v>
          </cell>
        </row>
        <row r="944">
          <cell r="B944" t="str">
            <v>0221401947248</v>
          </cell>
          <cell r="C944" t="str">
            <v>PAIN CURE RX</v>
          </cell>
          <cell r="D944" t="str">
            <v>R</v>
          </cell>
          <cell r="E944" t="str">
            <v>CL</v>
          </cell>
          <cell r="F944" t="str">
            <v>Yass, Mitchell</v>
          </cell>
          <cell r="G944" t="str">
            <v>HEAL</v>
          </cell>
          <cell r="H944">
            <v>5.99</v>
          </cell>
          <cell r="I944">
            <v>502</v>
          </cell>
        </row>
        <row r="945">
          <cell r="B945" t="str">
            <v>0221401947323</v>
          </cell>
          <cell r="C945" t="str">
            <v>CONSCIOUS LOVING EVER AFTER</v>
          </cell>
          <cell r="D945" t="str">
            <v>r</v>
          </cell>
          <cell r="E945" t="str">
            <v>CL</v>
          </cell>
          <cell r="F945" t="str">
            <v>Hendricks, Gay ; Hendricks, Kathlyn</v>
          </cell>
          <cell r="G945" t="str">
            <v>FAMI</v>
          </cell>
          <cell r="H945">
            <v>5.99</v>
          </cell>
          <cell r="I945">
            <v>74</v>
          </cell>
        </row>
        <row r="946">
          <cell r="B946" t="str">
            <v>0221401948542</v>
          </cell>
          <cell r="C946" t="str">
            <v>FOR THE SENDER</v>
          </cell>
          <cell r="D946" t="str">
            <v>R</v>
          </cell>
          <cell r="E946" t="str">
            <v>BI</v>
          </cell>
          <cell r="F946" t="str">
            <v>Woodard, Alex</v>
          </cell>
          <cell r="G946" t="str">
            <v>BIOG</v>
          </cell>
          <cell r="H946">
            <v>5</v>
          </cell>
          <cell r="I946">
            <v>156</v>
          </cell>
        </row>
        <row r="947">
          <cell r="B947" t="str">
            <v>0221401948917</v>
          </cell>
          <cell r="C947" t="str">
            <v>BIOLOGY OF BELIEF 10TH ANNIVER</v>
          </cell>
          <cell r="D947" t="str">
            <v>R</v>
          </cell>
          <cell r="E947" t="str">
            <v>CL</v>
          </cell>
          <cell r="F947" t="str">
            <v>Lipton, Bruce H.</v>
          </cell>
          <cell r="G947" t="str">
            <v>NWAGE</v>
          </cell>
          <cell r="H947">
            <v>6.25</v>
          </cell>
          <cell r="I947">
            <v>0</v>
          </cell>
        </row>
        <row r="948">
          <cell r="B948" t="str">
            <v>0221401949426</v>
          </cell>
          <cell r="C948" t="str">
            <v>2016 ANGEL ENGAGEMENT CALENDAR</v>
          </cell>
          <cell r="D948" t="str">
            <v>R</v>
          </cell>
          <cell r="E948" t="str">
            <v>WC</v>
          </cell>
          <cell r="F948" t="str">
            <v>Virtue, Doreen</v>
          </cell>
          <cell r="G948" t="str">
            <v>NWAGE</v>
          </cell>
          <cell r="H948">
            <v>4</v>
          </cell>
          <cell r="I948">
            <v>0</v>
          </cell>
        </row>
        <row r="949">
          <cell r="B949" t="str">
            <v>0221401951498</v>
          </cell>
          <cell r="C949" t="str">
            <v>COVENANT WITH BLACK AMERICA - </v>
          </cell>
          <cell r="D949" t="str">
            <v>r</v>
          </cell>
          <cell r="E949" t="str">
            <v>PB</v>
          </cell>
          <cell r="F949" t="str">
            <v>Smiley, Tavis</v>
          </cell>
          <cell r="G949" t="str">
            <v>SOC</v>
          </cell>
          <cell r="H949">
            <v>4</v>
          </cell>
          <cell r="I949">
            <v>0</v>
          </cell>
        </row>
        <row r="950">
          <cell r="B950" t="str">
            <v>0221402222726</v>
          </cell>
          <cell r="C950" t="str">
            <v>MIDNIGHT ON JULIA STREET</v>
          </cell>
          <cell r="D950" t="str">
            <v>R</v>
          </cell>
          <cell r="E950" t="str">
            <v>PB</v>
          </cell>
          <cell r="F950" t="str">
            <v>Ware, Ciji</v>
          </cell>
          <cell r="G950" t="str">
            <v>FICT</v>
          </cell>
          <cell r="H950">
            <v>4.99</v>
          </cell>
          <cell r="I950">
            <v>113</v>
          </cell>
        </row>
        <row r="951">
          <cell r="B951" t="str">
            <v>0221402236402</v>
          </cell>
          <cell r="C951" t="str">
            <v>COUPONS FROM SANTA, 2E</v>
          </cell>
          <cell r="D951" t="str">
            <v>R</v>
          </cell>
          <cell r="E951" t="str">
            <v>NP</v>
          </cell>
          <cell r="F951" t="str">
            <v>Sourcebooks, Inc.</v>
          </cell>
          <cell r="G951" t="str">
            <v>RELI</v>
          </cell>
          <cell r="H951">
            <v>1.99</v>
          </cell>
          <cell r="I951">
            <v>0</v>
          </cell>
        </row>
        <row r="952">
          <cell r="B952" t="str">
            <v>0221402237843</v>
          </cell>
          <cell r="C952" t="str">
            <v>PERCIVAL'S ANGEL</v>
          </cell>
          <cell r="D952" t="str">
            <v>R</v>
          </cell>
          <cell r="E952" t="str">
            <v>PB</v>
          </cell>
          <cell r="F952" t="str">
            <v>Crompton, Anne Eliot</v>
          </cell>
          <cell r="G952" t="str">
            <v>CHIL</v>
          </cell>
          <cell r="H952">
            <v>1.99</v>
          </cell>
          <cell r="I952">
            <v>312</v>
          </cell>
        </row>
        <row r="953">
          <cell r="B953" t="str">
            <v>0221402237959</v>
          </cell>
          <cell r="C953" t="str">
            <v>MY GLORIOUS BROTHERS</v>
          </cell>
          <cell r="D953" t="str">
            <v>R</v>
          </cell>
          <cell r="E953" t="str">
            <v>Pb</v>
          </cell>
          <cell r="F953" t="str">
            <v>Fast, Howard</v>
          </cell>
          <cell r="G953" t="str">
            <v>FICT</v>
          </cell>
          <cell r="H953">
            <v>3.99</v>
          </cell>
          <cell r="I953">
            <v>278</v>
          </cell>
        </row>
        <row r="954">
          <cell r="B954" t="str">
            <v>0221402238352</v>
          </cell>
          <cell r="C954" t="str">
            <v>MORE BEARS!</v>
          </cell>
          <cell r="D954" t="str">
            <v>R</v>
          </cell>
          <cell r="E954" t="str">
            <v>CL</v>
          </cell>
          <cell r="F954" t="str">
            <v>Nesbitt, Kenn ; Cummings, Troy</v>
          </cell>
          <cell r="G954" t="str">
            <v>CHIL</v>
          </cell>
          <cell r="H954">
            <v>3.75</v>
          </cell>
          <cell r="I954">
            <v>0</v>
          </cell>
        </row>
        <row r="955">
          <cell r="B955" t="str">
            <v>0221402238505</v>
          </cell>
          <cell r="C955" t="str">
            <v>SILVER-TONGUED DEVIL</v>
          </cell>
          <cell r="D955" t="str">
            <v>R</v>
          </cell>
          <cell r="E955" t="str">
            <v>Pb</v>
          </cell>
          <cell r="F955" t="str">
            <v>Blake, Jennifer</v>
          </cell>
          <cell r="G955" t="str">
            <v>FICT</v>
          </cell>
          <cell r="H955">
            <v>3.99</v>
          </cell>
          <cell r="I955">
            <v>150</v>
          </cell>
        </row>
        <row r="956">
          <cell r="B956" t="str">
            <v>0221402238550</v>
          </cell>
          <cell r="C956" t="str">
            <v>MAGICKEEPERS: THE ETERNAL HOUR</v>
          </cell>
          <cell r="D956" t="str">
            <v>R</v>
          </cell>
          <cell r="E956" t="str">
            <v>PB</v>
          </cell>
          <cell r="F956" t="str">
            <v>Kirov, Erica ; Fortune, Eric</v>
          </cell>
          <cell r="G956" t="str">
            <v>CHIL</v>
          </cell>
          <cell r="H956">
            <v>2.99</v>
          </cell>
          <cell r="I956">
            <v>133</v>
          </cell>
        </row>
        <row r="957">
          <cell r="B957" t="str">
            <v>0221402238680</v>
          </cell>
          <cell r="C957" t="str">
            <v>LEGACY</v>
          </cell>
          <cell r="D957" t="str">
            <v>R</v>
          </cell>
          <cell r="E957" t="str">
            <v>PB</v>
          </cell>
          <cell r="F957" t="str">
            <v>Kay, Susan</v>
          </cell>
          <cell r="G957" t="str">
            <v>FICT</v>
          </cell>
          <cell r="H957">
            <v>4.99</v>
          </cell>
          <cell r="I957">
            <v>49</v>
          </cell>
        </row>
        <row r="958">
          <cell r="B958" t="str">
            <v>0221402239915</v>
          </cell>
          <cell r="C958" t="str">
            <v>BLOODY FIELD BY SHREWSBURY</v>
          </cell>
          <cell r="D958" t="str">
            <v>R</v>
          </cell>
          <cell r="E958" t="str">
            <v>PB</v>
          </cell>
          <cell r="F958" t="str">
            <v>Pargeter, Edith</v>
          </cell>
          <cell r="G958" t="str">
            <v>FICT</v>
          </cell>
          <cell r="H958">
            <v>3.99</v>
          </cell>
          <cell r="I958">
            <v>172</v>
          </cell>
        </row>
        <row r="959">
          <cell r="B959" t="str">
            <v>0221402240218</v>
          </cell>
          <cell r="C959" t="str">
            <v>ELLIOT AND THE LAST UNDERWORLD</v>
          </cell>
          <cell r="D959" t="str">
            <v>R</v>
          </cell>
          <cell r="E959" t="str">
            <v>CL</v>
          </cell>
          <cell r="F959" t="str">
            <v>Nielsen, Jennifer ; Kendall, Gideon</v>
          </cell>
          <cell r="G959" t="str">
            <v>CHIL</v>
          </cell>
          <cell r="H959">
            <v>3.99</v>
          </cell>
          <cell r="I959">
            <v>0</v>
          </cell>
        </row>
        <row r="960">
          <cell r="B960" t="str">
            <v>0221402240669</v>
          </cell>
          <cell r="C960" t="str">
            <v>I AM THE CHOSEN KING</v>
          </cell>
          <cell r="D960" t="str">
            <v>R</v>
          </cell>
          <cell r="E960" t="str">
            <v>PB</v>
          </cell>
          <cell r="F960" t="str">
            <v>Hollick, Helen</v>
          </cell>
          <cell r="G960" t="str">
            <v>FICT</v>
          </cell>
          <cell r="H960">
            <v>4.99</v>
          </cell>
          <cell r="I960">
            <v>140</v>
          </cell>
        </row>
        <row r="961">
          <cell r="B961" t="str">
            <v>0221402241444</v>
          </cell>
          <cell r="C961" t="str">
            <v>WISH YOU WERE HERE</v>
          </cell>
          <cell r="D961" t="str">
            <v>R</v>
          </cell>
          <cell r="E961" t="str">
            <v>Pb</v>
          </cell>
          <cell r="F961" t="str">
            <v>Ashley, Phillipa</v>
          </cell>
          <cell r="G961" t="str">
            <v>FICT</v>
          </cell>
          <cell r="H961">
            <v>1.99</v>
          </cell>
          <cell r="I961">
            <v>321</v>
          </cell>
        </row>
        <row r="962">
          <cell r="B962" t="str">
            <v>0221402241772</v>
          </cell>
          <cell r="C962" t="str">
            <v>WESTERN SWING</v>
          </cell>
          <cell r="D962" t="str">
            <v>R</v>
          </cell>
          <cell r="E962" t="str">
            <v>Pb</v>
          </cell>
          <cell r="F962" t="str">
            <v>Sandlin, Tim</v>
          </cell>
          <cell r="G962" t="str">
            <v>FICT</v>
          </cell>
          <cell r="H962">
            <v>3.99</v>
          </cell>
          <cell r="I962">
            <v>321</v>
          </cell>
        </row>
        <row r="963">
          <cell r="B963" t="str">
            <v>0221402241796</v>
          </cell>
          <cell r="C963" t="str">
            <v>SEX AND SUNSETS</v>
          </cell>
          <cell r="D963" t="str">
            <v>R</v>
          </cell>
          <cell r="E963" t="str">
            <v>Pb</v>
          </cell>
          <cell r="F963" t="str">
            <v>Sandlin, Tim</v>
          </cell>
          <cell r="G963" t="str">
            <v>FICT</v>
          </cell>
          <cell r="H963">
            <v>4.25</v>
          </cell>
          <cell r="I963">
            <v>0</v>
          </cell>
        </row>
        <row r="964">
          <cell r="B964" t="str">
            <v>0221402242397</v>
          </cell>
          <cell r="C964" t="str">
            <v>MY DAD, MY HERO</v>
          </cell>
          <cell r="D964" t="str">
            <v>R</v>
          </cell>
          <cell r="E964" t="str">
            <v>Cl</v>
          </cell>
          <cell r="F964" t="str">
            <v>Long, Ethan</v>
          </cell>
          <cell r="G964" t="str">
            <v>CHIL</v>
          </cell>
          <cell r="H964">
            <v>3.99</v>
          </cell>
          <cell r="I964">
            <v>0</v>
          </cell>
        </row>
        <row r="965">
          <cell r="B965" t="str">
            <v>0221402242434</v>
          </cell>
          <cell r="C965" t="str">
            <v>MOONSTRUCK MADNESS</v>
          </cell>
          <cell r="D965" t="str">
            <v>R</v>
          </cell>
          <cell r="E965" t="str">
            <v>Pb</v>
          </cell>
          <cell r="F965" t="str">
            <v>McBain, Laurie</v>
          </cell>
          <cell r="G965" t="str">
            <v>FICT</v>
          </cell>
          <cell r="H965">
            <v>1.99</v>
          </cell>
          <cell r="I965">
            <v>382</v>
          </cell>
        </row>
        <row r="966">
          <cell r="B966" t="str">
            <v>0221402242458</v>
          </cell>
          <cell r="C966" t="str">
            <v>TEARS OF GOLD</v>
          </cell>
          <cell r="D966" t="str">
            <v>R</v>
          </cell>
          <cell r="E966" t="str">
            <v>Pb</v>
          </cell>
          <cell r="F966" t="str">
            <v>McBain, Laurie</v>
          </cell>
          <cell r="G966" t="str">
            <v>FICT</v>
          </cell>
          <cell r="H966">
            <v>1.99</v>
          </cell>
          <cell r="I966">
            <v>159</v>
          </cell>
        </row>
        <row r="967">
          <cell r="B967" t="str">
            <v>0221402243394</v>
          </cell>
          <cell r="C967" t="str">
            <v>DARCY CHRISTMAS</v>
          </cell>
          <cell r="D967" t="str">
            <v>R</v>
          </cell>
          <cell r="E967" t="str">
            <v>PB</v>
          </cell>
          <cell r="F967" t="str">
            <v>Grange, Amanda ; Lathan, Sharon ; Eberhart, Carolyn</v>
          </cell>
          <cell r="G967" t="str">
            <v>FICT</v>
          </cell>
          <cell r="H967">
            <v>3.99</v>
          </cell>
          <cell r="I967">
            <v>362</v>
          </cell>
        </row>
        <row r="968">
          <cell r="B968" t="str">
            <v>0221402243752</v>
          </cell>
          <cell r="C968" t="str">
            <v>TYLER</v>
          </cell>
          <cell r="D968" t="str">
            <v>R</v>
          </cell>
          <cell r="E968" t="str">
            <v>Pb</v>
          </cell>
          <cell r="F968" t="str">
            <v>Admirand, C.H.</v>
          </cell>
          <cell r="G968" t="str">
            <v>FICT</v>
          </cell>
          <cell r="H968">
            <v>0.99</v>
          </cell>
          <cell r="I968">
            <v>100</v>
          </cell>
        </row>
        <row r="969">
          <cell r="B969" t="str">
            <v>0221402243974</v>
          </cell>
          <cell r="C969" t="str">
            <v>BRAN HAMBRIC</v>
          </cell>
          <cell r="D969" t="str">
            <v>R</v>
          </cell>
          <cell r="E969" t="str">
            <v>PB</v>
          </cell>
          <cell r="F969" t="str">
            <v>Nation, Kaleb</v>
          </cell>
          <cell r="G969" t="str">
            <v>CHIL</v>
          </cell>
          <cell r="H969">
            <v>1.99</v>
          </cell>
          <cell r="I969">
            <v>73</v>
          </cell>
        </row>
        <row r="970">
          <cell r="B970" t="str">
            <v>0221402244650</v>
          </cell>
          <cell r="C970" t="str">
            <v>IDRAKULA</v>
          </cell>
          <cell r="D970" t="str">
            <v>R</v>
          </cell>
          <cell r="E970" t="str">
            <v>PB</v>
          </cell>
          <cell r="F970" t="str">
            <v>Black, Bekka</v>
          </cell>
          <cell r="G970" t="str">
            <v>CHIL</v>
          </cell>
          <cell r="H970">
            <v>1.99</v>
          </cell>
          <cell r="I970">
            <v>253</v>
          </cell>
        </row>
        <row r="971">
          <cell r="B971" t="str">
            <v>0221402244681</v>
          </cell>
          <cell r="C971" t="str">
            <v>HAUNTED</v>
          </cell>
          <cell r="D971" t="str">
            <v>R</v>
          </cell>
          <cell r="E971" t="str">
            <v>Pb</v>
          </cell>
          <cell r="F971" t="str">
            <v>Preble, Joy</v>
          </cell>
          <cell r="G971" t="str">
            <v>CHIL</v>
          </cell>
          <cell r="H971">
            <v>2.99</v>
          </cell>
          <cell r="I971">
            <v>0</v>
          </cell>
        </row>
        <row r="972">
          <cell r="B972" t="str">
            <v>0221402245046</v>
          </cell>
          <cell r="C972" t="str">
            <v>EX-GIRLFRIENDS UNITED</v>
          </cell>
          <cell r="D972" t="str">
            <v>R</v>
          </cell>
          <cell r="E972" t="str">
            <v>Pb</v>
          </cell>
          <cell r="F972" t="str">
            <v>Dunn, Matt</v>
          </cell>
          <cell r="G972" t="str">
            <v>FICT</v>
          </cell>
          <cell r="H972">
            <v>3.99</v>
          </cell>
          <cell r="I972">
            <v>276</v>
          </cell>
        </row>
        <row r="973">
          <cell r="B973" t="str">
            <v>0221402246401</v>
          </cell>
          <cell r="C973" t="str">
            <v>QUEEN OF THE SUMMER STARS</v>
          </cell>
          <cell r="D973" t="str">
            <v>R</v>
          </cell>
          <cell r="E973" t="str">
            <v>Pb</v>
          </cell>
          <cell r="F973" t="str">
            <v>Woolley, Persia</v>
          </cell>
          <cell r="G973" t="str">
            <v>FICT</v>
          </cell>
          <cell r="H973">
            <v>3.99</v>
          </cell>
          <cell r="I973">
            <v>295</v>
          </cell>
        </row>
        <row r="974">
          <cell r="B974" t="str">
            <v>0221402246937</v>
          </cell>
          <cell r="C974" t="str">
            <v>MR. DARCY GOES OVERBOARD</v>
          </cell>
          <cell r="D974" t="str">
            <v>R</v>
          </cell>
          <cell r="E974" t="str">
            <v>Pb</v>
          </cell>
          <cell r="F974" t="str">
            <v>Roberts, Belinda</v>
          </cell>
          <cell r="G974" t="str">
            <v>FICT</v>
          </cell>
          <cell r="H974">
            <v>2.99</v>
          </cell>
          <cell r="I974">
            <v>1538</v>
          </cell>
        </row>
        <row r="975">
          <cell r="B975" t="str">
            <v>0221402252754</v>
          </cell>
          <cell r="C975" t="str">
            <v>DREAM BIG, LITTLE PIG!</v>
          </cell>
          <cell r="D975" t="str">
            <v>R</v>
          </cell>
          <cell r="E975" t="str">
            <v>Cl</v>
          </cell>
          <cell r="F975" t="str">
            <v>Yamaguchi, Kristi ; Bowers, Tim</v>
          </cell>
          <cell r="G975" t="str">
            <v>CHIL</v>
          </cell>
          <cell r="H975">
            <v>4.99</v>
          </cell>
          <cell r="I975">
            <v>0</v>
          </cell>
        </row>
        <row r="976">
          <cell r="B976" t="str">
            <v>0221402253287</v>
          </cell>
          <cell r="C976" t="str">
            <v>150 SECRETS TO A HAPPY WIFE</v>
          </cell>
          <cell r="D976" t="str">
            <v>R</v>
          </cell>
          <cell r="E976" t="str">
            <v>Pb</v>
          </cell>
          <cell r="F976" t="str">
            <v>Gumm, Joe</v>
          </cell>
          <cell r="G976" t="str">
            <v>FAMI</v>
          </cell>
          <cell r="H976">
            <v>2.99</v>
          </cell>
          <cell r="I976">
            <v>570</v>
          </cell>
        </row>
        <row r="977">
          <cell r="B977" t="str">
            <v>0221402253928</v>
          </cell>
          <cell r="C977" t="str">
            <v>YOUR BRAIN ON SEX</v>
          </cell>
          <cell r="D977" t="str">
            <v>R</v>
          </cell>
          <cell r="E977" t="str">
            <v>Pb</v>
          </cell>
          <cell r="F977" t="str">
            <v>Siegel, Stanley</v>
          </cell>
          <cell r="G977" t="str">
            <v>SELF</v>
          </cell>
          <cell r="H977">
            <v>3.99</v>
          </cell>
          <cell r="I977">
            <v>0</v>
          </cell>
        </row>
        <row r="978">
          <cell r="B978" t="str">
            <v>0221402254611</v>
          </cell>
          <cell r="C978" t="str">
            <v>ARE YOU GOING TO KISS ME NOW?</v>
          </cell>
          <cell r="D978" t="str">
            <v>R</v>
          </cell>
          <cell r="E978" t="str">
            <v>Pb</v>
          </cell>
          <cell r="F978" t="str">
            <v>Tanen, Sloane</v>
          </cell>
          <cell r="G978" t="str">
            <v>CHIL</v>
          </cell>
          <cell r="H978">
            <v>1.99</v>
          </cell>
          <cell r="I978">
            <v>89</v>
          </cell>
        </row>
        <row r="979">
          <cell r="B979" t="str">
            <v>0221402254895</v>
          </cell>
          <cell r="C979" t="str">
            <v>COLLEGE SURVIVAL COUPONS</v>
          </cell>
          <cell r="D979" t="str">
            <v>R</v>
          </cell>
          <cell r="E979" t="str">
            <v>NP</v>
          </cell>
          <cell r="F979" t="str">
            <v>Sourcebooks, Inc.</v>
          </cell>
          <cell r="G979" t="str">
            <v>Educ</v>
          </cell>
          <cell r="H979">
            <v>0.99</v>
          </cell>
          <cell r="I979">
            <v>764</v>
          </cell>
        </row>
        <row r="980">
          <cell r="B980" t="str">
            <v>0221402255496</v>
          </cell>
          <cell r="C980" t="str">
            <v>SPRIG MUSLIN</v>
          </cell>
          <cell r="D980" t="str">
            <v>R</v>
          </cell>
          <cell r="E980" t="str">
            <v>PB</v>
          </cell>
          <cell r="F980" t="str">
            <v>Heyer, Georgette</v>
          </cell>
          <cell r="G980" t="str">
            <v>FICT</v>
          </cell>
          <cell r="H980">
            <v>3.99</v>
          </cell>
          <cell r="I980">
            <v>0</v>
          </cell>
        </row>
        <row r="981">
          <cell r="B981" t="str">
            <v>0221402255892</v>
          </cell>
          <cell r="C981" t="str">
            <v>NELL</v>
          </cell>
          <cell r="D981" t="str">
            <v>R</v>
          </cell>
          <cell r="E981" t="str">
            <v>PB</v>
          </cell>
          <cell r="F981" t="str">
            <v>Baker, Jeanette</v>
          </cell>
          <cell r="G981" t="str">
            <v>FICT</v>
          </cell>
          <cell r="H981">
            <v>3.99</v>
          </cell>
          <cell r="I981">
            <v>323</v>
          </cell>
        </row>
        <row r="982">
          <cell r="B982" t="str">
            <v>0221402255922</v>
          </cell>
          <cell r="C982" t="str">
            <v>IRISH LADY</v>
          </cell>
          <cell r="D982" t="str">
            <v>R</v>
          </cell>
          <cell r="E982" t="str">
            <v>PB</v>
          </cell>
          <cell r="F982" t="str">
            <v>Baker, Jeanette</v>
          </cell>
          <cell r="G982" t="str">
            <v>FICT</v>
          </cell>
          <cell r="H982">
            <v>3.99</v>
          </cell>
          <cell r="I982">
            <v>152</v>
          </cell>
        </row>
        <row r="983">
          <cell r="B983" t="str">
            <v>0221402256394</v>
          </cell>
          <cell r="C983" t="str">
            <v>BEAUTIFUL BLUE EYES</v>
          </cell>
          <cell r="D983" t="str">
            <v>R</v>
          </cell>
          <cell r="E983" t="str">
            <v>Cl</v>
          </cell>
          <cell r="F983" t="str">
            <v>Richmond, Marianne</v>
          </cell>
          <cell r="G983" t="str">
            <v>CHIL</v>
          </cell>
          <cell r="H983">
            <v>3.99</v>
          </cell>
          <cell r="I983">
            <v>320</v>
          </cell>
        </row>
        <row r="984">
          <cell r="B984" t="str">
            <v>0221402257810</v>
          </cell>
          <cell r="C984" t="str">
            <v>FITZWILLIAM DARCY, ROCK STAR</v>
          </cell>
          <cell r="D984" t="str">
            <v>R</v>
          </cell>
          <cell r="E984" t="str">
            <v>PB</v>
          </cell>
          <cell r="F984" t="str">
            <v>Rigaud, Heather</v>
          </cell>
          <cell r="G984" t="str">
            <v>FICT</v>
          </cell>
          <cell r="H984">
            <v>3.99</v>
          </cell>
          <cell r="I984">
            <v>83</v>
          </cell>
        </row>
        <row r="985">
          <cell r="B985" t="str">
            <v>0221402259227</v>
          </cell>
          <cell r="C985" t="str">
            <v>AWFUL FIRST DATES</v>
          </cell>
          <cell r="D985" t="str">
            <v>R</v>
          </cell>
          <cell r="E985" t="str">
            <v>PB</v>
          </cell>
          <cell r="F985" t="str">
            <v>Wexler, Sarah</v>
          </cell>
          <cell r="G985" t="str">
            <v>FAMI</v>
          </cell>
          <cell r="H985">
            <v>3.99</v>
          </cell>
          <cell r="I985">
            <v>754</v>
          </cell>
        </row>
        <row r="986">
          <cell r="B986" t="str">
            <v>0221402259401</v>
          </cell>
          <cell r="C986" t="str">
            <v>CHIHUAWOLF </v>
          </cell>
          <cell r="D986" t="str">
            <v>R</v>
          </cell>
          <cell r="E986" t="str">
            <v>Pb</v>
          </cell>
          <cell r="F986" t="str">
            <v>Ganny, Charlee</v>
          </cell>
          <cell r="G986" t="str">
            <v>CHIL</v>
          </cell>
          <cell r="H986">
            <v>1.49</v>
          </cell>
          <cell r="I986">
            <v>50</v>
          </cell>
        </row>
        <row r="987">
          <cell r="B987" t="str">
            <v>0221402259524</v>
          </cell>
          <cell r="C987" t="str">
            <v>NO PROPER LADY</v>
          </cell>
          <cell r="D987" t="str">
            <v>R</v>
          </cell>
          <cell r="E987" t="str">
            <v>MM</v>
          </cell>
          <cell r="F987" t="str">
            <v>Cooper, Isabel</v>
          </cell>
          <cell r="G987" t="str">
            <v>FICT</v>
          </cell>
          <cell r="H987">
            <v>1.49</v>
          </cell>
          <cell r="I987">
            <v>0</v>
          </cell>
        </row>
        <row r="988">
          <cell r="B988" t="str">
            <v>0221402259685</v>
          </cell>
          <cell r="C988" t="str">
            <v>GO GIRL!</v>
          </cell>
          <cell r="D988" t="str">
            <v>R</v>
          </cell>
          <cell r="E988" t="str">
            <v>PB</v>
          </cell>
          <cell r="F988" t="str">
            <v>Storm, Hannah ; Jenkins, Mark</v>
          </cell>
          <cell r="G988" t="str">
            <v>Chca</v>
          </cell>
          <cell r="H988">
            <v>3.99</v>
          </cell>
          <cell r="I988">
            <v>177</v>
          </cell>
        </row>
        <row r="989">
          <cell r="B989" t="str">
            <v>0221402260490</v>
          </cell>
          <cell r="C989" t="str">
            <v>PREDICTEDS</v>
          </cell>
          <cell r="D989" t="str">
            <v>R</v>
          </cell>
          <cell r="E989" t="str">
            <v>Pb</v>
          </cell>
          <cell r="F989" t="str">
            <v>Seifert, Christine</v>
          </cell>
          <cell r="G989" t="str">
            <v>CHIL</v>
          </cell>
          <cell r="H989">
            <v>1.99</v>
          </cell>
          <cell r="I989">
            <v>383</v>
          </cell>
        </row>
        <row r="990">
          <cell r="B990" t="str">
            <v>0221402260520</v>
          </cell>
          <cell r="C990" t="str">
            <v>DARKER STILL</v>
          </cell>
          <cell r="D990" t="str">
            <v>R</v>
          </cell>
          <cell r="E990" t="str">
            <v>Pb</v>
          </cell>
          <cell r="F990" t="str">
            <v>Hieber, Leanna Renee</v>
          </cell>
          <cell r="G990" t="str">
            <v>CHIL</v>
          </cell>
          <cell r="H990">
            <v>1.99</v>
          </cell>
          <cell r="I990">
            <v>331</v>
          </cell>
        </row>
        <row r="991">
          <cell r="B991" t="str">
            <v>0221402260698</v>
          </cell>
          <cell r="C991" t="str">
            <v>DIRTY LITTLE SECRETS</v>
          </cell>
          <cell r="D991" t="str">
            <v>R</v>
          </cell>
          <cell r="E991" t="str">
            <v>Pb</v>
          </cell>
          <cell r="F991" t="str">
            <v>Cohen, Kerry</v>
          </cell>
          <cell r="G991" t="str">
            <v>FAMI</v>
          </cell>
          <cell r="H991">
            <v>3.99</v>
          </cell>
          <cell r="I991">
            <v>922</v>
          </cell>
        </row>
        <row r="992">
          <cell r="B992" t="str">
            <v>0221402260841</v>
          </cell>
          <cell r="C992" t="str">
            <v>DAYS OF OUR LIVES</v>
          </cell>
          <cell r="D992" t="str">
            <v>R</v>
          </cell>
          <cell r="E992" t="str">
            <v>Pb</v>
          </cell>
          <cell r="F992" t="str">
            <v>Corday, Ken</v>
          </cell>
          <cell r="G992" t="str">
            <v>PERF</v>
          </cell>
          <cell r="H992">
            <v>3.99</v>
          </cell>
          <cell r="I992">
            <v>508</v>
          </cell>
        </row>
        <row r="993">
          <cell r="B993" t="str">
            <v>0221402260933</v>
          </cell>
          <cell r="C993" t="str">
            <v>POX AND THE COVENANT</v>
          </cell>
          <cell r="D993" t="str">
            <v>R</v>
          </cell>
          <cell r="E993" t="str">
            <v>Pb</v>
          </cell>
          <cell r="F993" t="str">
            <v>Williams, Tony</v>
          </cell>
          <cell r="G993" t="str">
            <v>HIST</v>
          </cell>
          <cell r="H993">
            <v>3.99</v>
          </cell>
          <cell r="I993">
            <v>85</v>
          </cell>
        </row>
        <row r="994">
          <cell r="B994" t="str">
            <v>0221402263897</v>
          </cell>
          <cell r="C994" t="str">
            <v>WHERE THERE'S A WILL</v>
          </cell>
          <cell r="D994" t="str">
            <v>R</v>
          </cell>
          <cell r="E994" t="str">
            <v>PB</v>
          </cell>
          <cell r="F994" t="str">
            <v>Kelley, Karen</v>
          </cell>
          <cell r="G994" t="str">
            <v>FICT</v>
          </cell>
          <cell r="H994">
            <v>3.99</v>
          </cell>
          <cell r="I994">
            <v>256</v>
          </cell>
        </row>
        <row r="995">
          <cell r="B995" t="str">
            <v>0221402264658</v>
          </cell>
          <cell r="C995" t="str">
            <v>KID DICT</v>
          </cell>
          <cell r="D995" t="str">
            <v>R</v>
          </cell>
          <cell r="E995" t="str">
            <v>PB</v>
          </cell>
          <cell r="F995" t="str">
            <v>Ruhalter, Eric</v>
          </cell>
          <cell r="G995" t="str">
            <v>FAMI</v>
          </cell>
          <cell r="H995">
            <v>1.99</v>
          </cell>
          <cell r="I995">
            <v>304</v>
          </cell>
        </row>
        <row r="996">
          <cell r="B996" t="str">
            <v>0221402264689</v>
          </cell>
          <cell r="C996" t="str">
            <v>TWITS</v>
          </cell>
          <cell r="D996" t="str">
            <v>R</v>
          </cell>
          <cell r="E996" t="str">
            <v>PB</v>
          </cell>
          <cell r="F996" t="str">
            <v>Conroy, Quinn</v>
          </cell>
          <cell r="G996" t="str">
            <v>HUM</v>
          </cell>
          <cell r="H996">
            <v>2.99</v>
          </cell>
          <cell r="I996">
            <v>604</v>
          </cell>
        </row>
        <row r="997">
          <cell r="B997" t="str">
            <v>0221402265310</v>
          </cell>
          <cell r="C997" t="str">
            <v>NATURALLY PAIN FREE</v>
          </cell>
          <cell r="D997" t="str">
            <v>R</v>
          </cell>
          <cell r="E997" t="str">
            <v>PB</v>
          </cell>
          <cell r="F997" t="str">
            <v>Hadady, Letha</v>
          </cell>
          <cell r="G997" t="str">
            <v>HEAL</v>
          </cell>
          <cell r="H997">
            <v>3.99</v>
          </cell>
          <cell r="I997">
            <v>198</v>
          </cell>
        </row>
        <row r="998">
          <cell r="B998" t="str">
            <v>0221402265792</v>
          </cell>
          <cell r="C998" t="str">
            <v>I HAVE IRAQ IN MY SHOE</v>
          </cell>
          <cell r="D998" t="str">
            <v>R</v>
          </cell>
          <cell r="E998" t="str">
            <v>PB</v>
          </cell>
          <cell r="F998" t="str">
            <v>Berg, Gretchen</v>
          </cell>
          <cell r="G998" t="str">
            <v>BIOG</v>
          </cell>
          <cell r="H998">
            <v>3.99</v>
          </cell>
          <cell r="I998">
            <v>122</v>
          </cell>
        </row>
        <row r="999">
          <cell r="B999" t="str">
            <v>0221402265945</v>
          </cell>
          <cell r="C999" t="str">
            <v>LAST ROMANOV</v>
          </cell>
          <cell r="D999" t="str">
            <v>R</v>
          </cell>
          <cell r="E999" t="str">
            <v>PB</v>
          </cell>
          <cell r="F999" t="str">
            <v>Mossanen, Dora Levy</v>
          </cell>
          <cell r="G999" t="str">
            <v>FICT</v>
          </cell>
          <cell r="H999">
            <v>3.99</v>
          </cell>
          <cell r="I999">
            <v>1091</v>
          </cell>
        </row>
        <row r="1000">
          <cell r="B1000" t="str">
            <v>0221402266737</v>
          </cell>
          <cell r="C1000" t="str">
            <v>DEAD MAN WINS ELECTION</v>
          </cell>
          <cell r="D1000" t="str">
            <v>R</v>
          </cell>
          <cell r="E1000" t="str">
            <v>PB</v>
          </cell>
          <cell r="F1000" t="str">
            <v>Mason, Phil</v>
          </cell>
          <cell r="G1000" t="str">
            <v>HUM</v>
          </cell>
          <cell r="H1000">
            <v>2.99</v>
          </cell>
          <cell r="I1000">
            <v>141</v>
          </cell>
        </row>
        <row r="1001">
          <cell r="B1001" t="str">
            <v>0221402267680</v>
          </cell>
          <cell r="C1001" t="str">
            <v>WILDEST DREAMS</v>
          </cell>
          <cell r="D1001" t="str">
            <v>R</v>
          </cell>
          <cell r="E1001" t="str">
            <v>Pb</v>
          </cell>
          <cell r="F1001" t="str">
            <v>Bittner, Rosanne</v>
          </cell>
          <cell r="G1001" t="str">
            <v>FICT</v>
          </cell>
          <cell r="H1001">
            <v>3.99</v>
          </cell>
          <cell r="I1001">
            <v>416</v>
          </cell>
        </row>
        <row r="1002">
          <cell r="B1002" t="str">
            <v>0221402268038</v>
          </cell>
          <cell r="C1002" t="str">
            <v>RUINS OF LACE</v>
          </cell>
          <cell r="D1002" t="str">
            <v>R</v>
          </cell>
          <cell r="E1002" t="str">
            <v>PB</v>
          </cell>
          <cell r="F1002" t="str">
            <v>Anthony, Iris</v>
          </cell>
          <cell r="G1002" t="str">
            <v>FICT</v>
          </cell>
          <cell r="H1002">
            <v>3.99</v>
          </cell>
          <cell r="I1002">
            <v>306</v>
          </cell>
        </row>
        <row r="1003">
          <cell r="B1003" t="str">
            <v>0221402268212</v>
          </cell>
          <cell r="C1003" t="str">
            <v>EASTER BUNNY COUPONS</v>
          </cell>
          <cell r="D1003" t="str">
            <v>r</v>
          </cell>
          <cell r="E1003" t="str">
            <v>NP</v>
          </cell>
          <cell r="G1003" t="str">
            <v>CHIL</v>
          </cell>
          <cell r="H1003">
            <v>0.99</v>
          </cell>
          <cell r="I1003">
            <v>1094</v>
          </cell>
        </row>
        <row r="1004">
          <cell r="B1004" t="str">
            <v>0221402268755</v>
          </cell>
          <cell r="C1004" t="str">
            <v>ANASTASIA FOREVER</v>
          </cell>
          <cell r="D1004" t="str">
            <v>R</v>
          </cell>
          <cell r="E1004" t="str">
            <v>PB</v>
          </cell>
          <cell r="F1004" t="str">
            <v>Preble, Joy</v>
          </cell>
          <cell r="G1004" t="str">
            <v>CHIL</v>
          </cell>
          <cell r="H1004">
            <v>1.99</v>
          </cell>
          <cell r="I1004">
            <v>336</v>
          </cell>
        </row>
        <row r="1005">
          <cell r="B1005" t="str">
            <v>0221402268786</v>
          </cell>
          <cell r="C1005" t="str">
            <v>I'M NOT TIRED YET!</v>
          </cell>
          <cell r="D1005" t="str">
            <v>R</v>
          </cell>
          <cell r="E1005" t="str">
            <v>Cl</v>
          </cell>
          <cell r="F1005" t="str">
            <v>Richmond, Marianne</v>
          </cell>
          <cell r="G1005" t="str">
            <v>CHIL</v>
          </cell>
          <cell r="H1005">
            <v>3.99</v>
          </cell>
          <cell r="I1005">
            <v>100</v>
          </cell>
        </row>
        <row r="1006">
          <cell r="B1006" t="str">
            <v>0221402269219</v>
          </cell>
          <cell r="C1006" t="str">
            <v>GLAM NOTES</v>
          </cell>
          <cell r="D1006" t="str">
            <v>R</v>
          </cell>
          <cell r="E1006" t="str">
            <v>PB</v>
          </cell>
          <cell r="G1006" t="str">
            <v>SELF</v>
          </cell>
          <cell r="H1006">
            <v>1.99</v>
          </cell>
          <cell r="I1006">
            <v>350</v>
          </cell>
        </row>
        <row r="1007">
          <cell r="B1007" t="str">
            <v>0221402271960</v>
          </cell>
          <cell r="C1007" t="str">
            <v>INSTANT FORTUNES</v>
          </cell>
          <cell r="D1007" t="str">
            <v>R</v>
          </cell>
          <cell r="E1007" t="str">
            <v>PB</v>
          </cell>
          <cell r="G1007" t="str">
            <v>SELF</v>
          </cell>
          <cell r="H1007">
            <v>1.99</v>
          </cell>
          <cell r="I1007">
            <v>141</v>
          </cell>
        </row>
        <row r="1008">
          <cell r="B1008" t="str">
            <v>0221402272141</v>
          </cell>
          <cell r="C1008" t="str">
            <v>BECOMING BOLD &amp; BEAUTIFUL</v>
          </cell>
          <cell r="D1008" t="str">
            <v>R</v>
          </cell>
          <cell r="E1008" t="str">
            <v>CL</v>
          </cell>
          <cell r="F1008" t="str">
            <v>Aviles, Adrian ; Gregg, David</v>
          </cell>
          <cell r="G1008" t="str">
            <v>PERF</v>
          </cell>
          <cell r="H1008">
            <v>8.99</v>
          </cell>
          <cell r="I1008">
            <v>145</v>
          </cell>
        </row>
        <row r="1009">
          <cell r="B1009" t="str">
            <v>0221402277290</v>
          </cell>
          <cell r="C1009" t="str">
            <v>LINNEA IN MONET'S GARDEN</v>
          </cell>
          <cell r="D1009" t="str">
            <v>R</v>
          </cell>
          <cell r="E1009" t="str">
            <v>CL</v>
          </cell>
          <cell r="F1009" t="str">
            <v>Anderson, Lena ; Bjork, Christina</v>
          </cell>
          <cell r="G1009" t="str">
            <v>CHIL</v>
          </cell>
          <cell r="H1009">
            <v>4.79</v>
          </cell>
          <cell r="I1009">
            <v>0</v>
          </cell>
        </row>
        <row r="1010">
          <cell r="B1010" t="str">
            <v>0221423602484</v>
          </cell>
          <cell r="C1010" t="str">
            <v>FRENCH TOAST</v>
          </cell>
          <cell r="D1010" t="str">
            <v>R</v>
          </cell>
          <cell r="E1010" t="str">
            <v>CL</v>
          </cell>
          <cell r="F1010" t="str">
            <v>Kelly, Donna</v>
          </cell>
          <cell r="G1010" t="str">
            <v>cook</v>
          </cell>
          <cell r="H1010">
            <v>5.75</v>
          </cell>
          <cell r="I1010">
            <v>0</v>
          </cell>
        </row>
        <row r="1011">
          <cell r="B1011" t="str">
            <v>0221423603900</v>
          </cell>
          <cell r="C1011" t="str">
            <v>NEW SOLAR HOME</v>
          </cell>
          <cell r="D1011" t="str">
            <v>R</v>
          </cell>
          <cell r="E1011" t="str">
            <v>PB</v>
          </cell>
          <cell r="F1011" t="str">
            <v>Bonta, Dave ; Snyder, Stephen</v>
          </cell>
          <cell r="G1011" t="str">
            <v>ARCH</v>
          </cell>
          <cell r="H1011">
            <v>7.5</v>
          </cell>
          <cell r="I1011">
            <v>0</v>
          </cell>
        </row>
        <row r="1012">
          <cell r="B1012" t="str">
            <v>0221423604532</v>
          </cell>
          <cell r="C1012" t="str">
            <v>ICE CREAM MIX-INS: EASY HOMEMA</v>
          </cell>
          <cell r="D1012" t="str">
            <v>R</v>
          </cell>
          <cell r="E1012" t="str">
            <v>CL</v>
          </cell>
          <cell r="F1012" t="str">
            <v>Keys, Jeff</v>
          </cell>
          <cell r="G1012" t="str">
            <v>COOK</v>
          </cell>
          <cell r="H1012">
            <v>6.75</v>
          </cell>
          <cell r="I1012">
            <v>0</v>
          </cell>
        </row>
        <row r="1013">
          <cell r="B1013" t="str">
            <v>0221423604785</v>
          </cell>
          <cell r="C1013" t="str">
            <v>REMARKABLY JANE</v>
          </cell>
          <cell r="D1013" t="str">
            <v>R</v>
          </cell>
          <cell r="E1013" t="str">
            <v>CL</v>
          </cell>
          <cell r="F1013" t="str">
            <v>Adams, Jennifer</v>
          </cell>
          <cell r="G1013" t="str">
            <v>LIT</v>
          </cell>
          <cell r="H1013">
            <v>4.99</v>
          </cell>
          <cell r="I1013">
            <v>0</v>
          </cell>
        </row>
        <row r="1014">
          <cell r="B1014" t="str">
            <v>0221423605041</v>
          </cell>
          <cell r="C1014" t="str">
            <v>POCKET GDE TO BRILLIANCE</v>
          </cell>
          <cell r="D1014" t="str">
            <v>R</v>
          </cell>
          <cell r="E1014" t="str">
            <v>PB</v>
          </cell>
          <cell r="F1014" t="str">
            <v>King, Bart</v>
          </cell>
          <cell r="G1014" t="str">
            <v>REF</v>
          </cell>
          <cell r="H1014">
            <v>3.25</v>
          </cell>
          <cell r="I1014">
            <v>0</v>
          </cell>
        </row>
        <row r="1015">
          <cell r="B1015" t="str">
            <v>0221423605959</v>
          </cell>
          <cell r="C1015" t="str">
            <v>CREATING A HOME</v>
          </cell>
          <cell r="D1015" t="str">
            <v>R</v>
          </cell>
          <cell r="E1015" t="str">
            <v>CL</v>
          </cell>
          <cell r="F1015" t="str">
            <v>Ireland, Kathryn M.</v>
          </cell>
          <cell r="G1015" t="str">
            <v>DOIT</v>
          </cell>
          <cell r="H1015">
            <v>12</v>
          </cell>
          <cell r="I1015">
            <v>0</v>
          </cell>
        </row>
        <row r="1016">
          <cell r="B1016" t="str">
            <v>0221423607069</v>
          </cell>
          <cell r="C1016" t="str">
            <v>SIT DOWN, SHUT UP, AND HANG ON</v>
          </cell>
          <cell r="D1016" t="str">
            <v>R</v>
          </cell>
          <cell r="E1016" t="str">
            <v>PB</v>
          </cell>
          <cell r="F1016" t="str">
            <v>Powers, Penny ; Hays, Chuck</v>
          </cell>
          <cell r="G1016" t="str">
            <v>HUM</v>
          </cell>
          <cell r="H1016">
            <v>2.5</v>
          </cell>
          <cell r="I1016">
            <v>0</v>
          </cell>
        </row>
        <row r="1017">
          <cell r="B1017" t="str">
            <v>0221423622505</v>
          </cell>
          <cell r="C1017" t="str">
            <v>DECORATING WITH EVERGREENS</v>
          </cell>
          <cell r="D1017" t="str">
            <v>R</v>
          </cell>
          <cell r="E1017" t="str">
            <v>cl</v>
          </cell>
          <cell r="F1017" t="str">
            <v>Waite, Robert</v>
          </cell>
          <cell r="G1017" t="str">
            <v>DOIT</v>
          </cell>
          <cell r="H1017">
            <v>7</v>
          </cell>
          <cell r="I1017">
            <v>0</v>
          </cell>
        </row>
        <row r="1018">
          <cell r="B1018" t="str">
            <v>0221423631408</v>
          </cell>
          <cell r="C1018" t="str">
            <v>SAINTS, SANTOS, AND SHRINES</v>
          </cell>
          <cell r="D1018" t="str">
            <v>R</v>
          </cell>
          <cell r="E1018" t="str">
            <v>CL</v>
          </cell>
          <cell r="F1018" t="str">
            <v>Annerino, John</v>
          </cell>
          <cell r="G1018" t="str">
            <v>ARTS</v>
          </cell>
          <cell r="H1018">
            <v>5.5</v>
          </cell>
          <cell r="I1018">
            <v>0</v>
          </cell>
        </row>
        <row r="1019">
          <cell r="B1019" t="str">
            <v>0221423636342</v>
          </cell>
          <cell r="C1019" t="str">
            <v>TEXAS DOODLES</v>
          </cell>
          <cell r="D1019" t="str">
            <v>R</v>
          </cell>
          <cell r="E1019" t="str">
            <v>PB</v>
          </cell>
          <cell r="F1019" t="str">
            <v>Branson, Michelle ; Brockschmidt, Kev</v>
          </cell>
          <cell r="G1019" t="str">
            <v>CHAA</v>
          </cell>
          <cell r="H1019">
            <v>2.5</v>
          </cell>
          <cell r="I1019">
            <v>0</v>
          </cell>
        </row>
        <row r="1020">
          <cell r="B1020" t="str">
            <v>0221452100043</v>
          </cell>
          <cell r="C1020" t="str">
            <v>I SCREAM! ICE CREAM!</v>
          </cell>
          <cell r="D1020" t="str">
            <v>R</v>
          </cell>
          <cell r="E1020" t="str">
            <v>Cl</v>
          </cell>
          <cell r="F1020" t="str">
            <v>Rosenthal, Amy Krouse ; Bloch, Serge</v>
          </cell>
          <cell r="G1020" t="str">
            <v>CHIL</v>
          </cell>
          <cell r="H1020">
            <v>5</v>
          </cell>
          <cell r="I1020">
            <v>0</v>
          </cell>
        </row>
        <row r="1021">
          <cell r="B1021" t="str">
            <v>0221452100524</v>
          </cell>
          <cell r="C1021" t="str">
            <v>IVY AND BEAN MINI NOTES</v>
          </cell>
          <cell r="D1021" t="str">
            <v>R</v>
          </cell>
          <cell r="E1021" t="str">
            <v>ST</v>
          </cell>
          <cell r="F1021" t="str">
            <v>Blackall, Sophie</v>
          </cell>
          <cell r="G1021" t="str">
            <v>GIFT</v>
          </cell>
          <cell r="H1021">
            <v>2.99</v>
          </cell>
          <cell r="I1021">
            <v>0</v>
          </cell>
        </row>
        <row r="1022">
          <cell r="B1022" t="str">
            <v>0221452101118</v>
          </cell>
          <cell r="C1022" t="str">
            <v>ART OF INSTRUCTION</v>
          </cell>
          <cell r="D1022" t="str">
            <v>R</v>
          </cell>
          <cell r="E1022" t="str">
            <v>Cl</v>
          </cell>
          <cell r="F1022" t="str">
            <v>Van der Schueren, Katrien</v>
          </cell>
          <cell r="G1022" t="str">
            <v>ARTS</v>
          </cell>
          <cell r="H1022">
            <v>9.75</v>
          </cell>
          <cell r="I1022">
            <v>0</v>
          </cell>
        </row>
        <row r="1023">
          <cell r="B1023" t="str">
            <v>0221452101439</v>
          </cell>
          <cell r="C1023" t="str">
            <v>MRS. MUSTARD'S BABY FACES STRO</v>
          </cell>
          <cell r="D1023" t="str">
            <v>R</v>
          </cell>
          <cell r="E1023" t="str">
            <v>MI</v>
          </cell>
          <cell r="F1023" t="str">
            <v>Wattenberg, Jane</v>
          </cell>
          <cell r="G1023" t="str">
            <v>CHIL</v>
          </cell>
          <cell r="H1023">
            <v>1.99</v>
          </cell>
          <cell r="I1023">
            <v>209</v>
          </cell>
        </row>
        <row r="1024">
          <cell r="B1024" t="str">
            <v>0221452101705</v>
          </cell>
          <cell r="C1024" t="str">
            <v>WOOF</v>
          </cell>
          <cell r="D1024" t="str">
            <v>R</v>
          </cell>
          <cell r="E1024" t="str">
            <v>Cl</v>
          </cell>
          <cell r="F1024" t="str">
            <v>Erwitt, Elliott ; McKenna, Rachael Hale ; Ledner, Catherine</v>
          </cell>
          <cell r="G1024" t="str">
            <v>PET</v>
          </cell>
          <cell r="H1024">
            <v>4.24</v>
          </cell>
          <cell r="I1024">
            <v>0</v>
          </cell>
        </row>
        <row r="1025">
          <cell r="B1025" t="str">
            <v>0221452101743</v>
          </cell>
          <cell r="C1025" t="str">
            <v>SUDOKU VOL. 3: HARD TO EXTREME</v>
          </cell>
          <cell r="D1025" t="str">
            <v>R</v>
          </cell>
          <cell r="E1025" t="str">
            <v>np</v>
          </cell>
          <cell r="G1025" t="str">
            <v>GIFT</v>
          </cell>
          <cell r="H1025">
            <v>2.24</v>
          </cell>
          <cell r="I1025">
            <v>0</v>
          </cell>
        </row>
        <row r="1026">
          <cell r="B1026" t="str">
            <v>0221452101866</v>
          </cell>
          <cell r="C1026" t="str">
            <v>BOTANICALS STATIONERY COLLECTI</v>
          </cell>
          <cell r="D1026" t="str">
            <v>R</v>
          </cell>
          <cell r="E1026" t="str">
            <v>St</v>
          </cell>
          <cell r="F1026" t="str">
            <v>Rifle Paper Co.</v>
          </cell>
          <cell r="G1026" t="str">
            <v>GIFT</v>
          </cell>
          <cell r="H1026">
            <v>4.99</v>
          </cell>
          <cell r="I1026">
            <v>0</v>
          </cell>
        </row>
        <row r="1027">
          <cell r="B1027" t="str">
            <v>0221452102146</v>
          </cell>
          <cell r="C1027" t="str">
            <v>HANDHELD PIES</v>
          </cell>
          <cell r="D1027" t="str">
            <v>R</v>
          </cell>
          <cell r="E1027" t="str">
            <v>Cl</v>
          </cell>
          <cell r="F1027" t="str">
            <v>Wharton, Rachel ; Billingsley, Sarah ; Silverman, Ellen</v>
          </cell>
          <cell r="G1027" t="str">
            <v>COOK</v>
          </cell>
          <cell r="H1027">
            <v>5.99</v>
          </cell>
          <cell r="I1027">
            <v>0</v>
          </cell>
        </row>
        <row r="1028">
          <cell r="B1028" t="str">
            <v>0221452102269</v>
          </cell>
          <cell r="C1028" t="str">
            <v>MY LITTLE SWEETHEART</v>
          </cell>
          <cell r="D1028" t="str">
            <v>R</v>
          </cell>
          <cell r="E1028" t="str">
            <v>Cl</v>
          </cell>
          <cell r="F1028" t="str">
            <v>Gillingham, Sara</v>
          </cell>
          <cell r="G1028" t="str">
            <v>CHIL</v>
          </cell>
          <cell r="H1028">
            <v>3</v>
          </cell>
          <cell r="I1028">
            <v>0</v>
          </cell>
        </row>
        <row r="1029">
          <cell r="B1029" t="str">
            <v>0221452102580</v>
          </cell>
          <cell r="C1029" t="str">
            <v>EAT, DRINK, AND BE GORGEOUS PR</v>
          </cell>
          <cell r="D1029" t="str">
            <v>R</v>
          </cell>
          <cell r="E1029" t="str">
            <v>JN</v>
          </cell>
          <cell r="F1029" t="str">
            <v>Blum, Esther</v>
          </cell>
          <cell r="G1029" t="str">
            <v>HEAL</v>
          </cell>
          <cell r="H1029">
            <v>4.99</v>
          </cell>
          <cell r="I1029">
            <v>0</v>
          </cell>
        </row>
        <row r="1030">
          <cell r="B1030" t="str">
            <v>0221452102795</v>
          </cell>
          <cell r="C1030" t="str">
            <v>IVY AND BEAN PAPER DOLLS</v>
          </cell>
          <cell r="D1030" t="str">
            <v>R</v>
          </cell>
          <cell r="E1030" t="str">
            <v>MI</v>
          </cell>
          <cell r="F1030" t="str">
            <v>Blackall, Sophie</v>
          </cell>
          <cell r="G1030" t="str">
            <v>CHIL</v>
          </cell>
          <cell r="H1030">
            <v>4.5</v>
          </cell>
          <cell r="I1030">
            <v>0</v>
          </cell>
        </row>
        <row r="1031">
          <cell r="B1031" t="str">
            <v>0221452102856</v>
          </cell>
          <cell r="C1031" t="str">
            <v>MOM, I'VE ALWAYS WANTED TO TEL</v>
          </cell>
          <cell r="D1031" t="str">
            <v>R</v>
          </cell>
          <cell r="E1031" t="str">
            <v>Jn</v>
          </cell>
          <cell r="F1031" t="str">
            <v>Wilson, Lawrence</v>
          </cell>
          <cell r="G1031" t="str">
            <v>GIFT</v>
          </cell>
          <cell r="H1031">
            <v>3.99</v>
          </cell>
          <cell r="I1031">
            <v>0</v>
          </cell>
        </row>
        <row r="1032">
          <cell r="B1032" t="str">
            <v>0221452103013</v>
          </cell>
          <cell r="C1032" t="str">
            <v>SWEET &amp; EASY VEGAN</v>
          </cell>
          <cell r="D1032" t="str">
            <v>R</v>
          </cell>
          <cell r="E1032" t="str">
            <v>CL</v>
          </cell>
          <cell r="F1032" t="str">
            <v>Asbell, Robin ; De Leo, Joseph</v>
          </cell>
          <cell r="G1032" t="str">
            <v>COOK</v>
          </cell>
          <cell r="H1032">
            <v>10</v>
          </cell>
          <cell r="I1032">
            <v>0</v>
          </cell>
        </row>
        <row r="1033">
          <cell r="B1033" t="str">
            <v>0221452103037</v>
          </cell>
          <cell r="C1033" t="str">
            <v>SLOW FIRE</v>
          </cell>
          <cell r="D1033" t="str">
            <v>R</v>
          </cell>
          <cell r="E1033" t="str">
            <v>Cl</v>
          </cell>
          <cell r="F1033" t="str">
            <v>Lampe, Ray "DR. BBQ"</v>
          </cell>
          <cell r="G1033" t="str">
            <v>COOK</v>
          </cell>
          <cell r="H1033">
            <v>6.99</v>
          </cell>
          <cell r="I1033">
            <v>0</v>
          </cell>
        </row>
        <row r="1034">
          <cell r="B1034" t="str">
            <v>0221452103143</v>
          </cell>
          <cell r="C1034" t="str">
            <v>JOSEPHINE</v>
          </cell>
          <cell r="D1034" t="str">
            <v>R</v>
          </cell>
          <cell r="E1034" t="str">
            <v>CL</v>
          </cell>
          <cell r="F1034" t="str">
            <v>Powell, Patricia Hruby ; Robinson, Christian</v>
          </cell>
          <cell r="G1034" t="str">
            <v>CHIL</v>
          </cell>
          <cell r="H1034">
            <v>5.38</v>
          </cell>
          <cell r="I1034">
            <v>0</v>
          </cell>
        </row>
        <row r="1035">
          <cell r="B1035" t="str">
            <v>0221452103600</v>
          </cell>
          <cell r="C1035" t="str">
            <v>SO PRETTY! CROCHET</v>
          </cell>
          <cell r="D1035" t="str">
            <v>R</v>
          </cell>
          <cell r="E1035" t="str">
            <v>Cl</v>
          </cell>
          <cell r="F1035" t="str">
            <v>Palanjian, Amy</v>
          </cell>
          <cell r="G1035" t="str">
            <v>CRAF</v>
          </cell>
          <cell r="H1035">
            <v>6.99</v>
          </cell>
          <cell r="I1035">
            <v>0</v>
          </cell>
        </row>
        <row r="1036">
          <cell r="B1036" t="str">
            <v>0221452104928</v>
          </cell>
          <cell r="C1036" t="str">
            <v>ZEAL OF ZEBRAS</v>
          </cell>
          <cell r="D1036" t="str">
            <v>R</v>
          </cell>
          <cell r="E1036" t="str">
            <v>Cl</v>
          </cell>
          <cell r="F1036" t="str">
            <v>Woop</v>
          </cell>
          <cell r="G1036" t="str">
            <v>CHIL</v>
          </cell>
          <cell r="H1036">
            <v>5.38</v>
          </cell>
          <cell r="I1036">
            <v>0</v>
          </cell>
        </row>
        <row r="1037">
          <cell r="B1037" t="str">
            <v>0221452105017</v>
          </cell>
          <cell r="C1037" t="str">
            <v>BOOK OF BEER AWESOMENESS</v>
          </cell>
          <cell r="D1037" t="str">
            <v>R</v>
          </cell>
          <cell r="E1037" t="str">
            <v>Pb</v>
          </cell>
          <cell r="F1037" t="str">
            <v>Applebaum, Ben ; DiSorbo, Dan</v>
          </cell>
          <cell r="G1037" t="str">
            <v>REF</v>
          </cell>
          <cell r="H1037">
            <v>4.74</v>
          </cell>
          <cell r="I1037">
            <v>0</v>
          </cell>
        </row>
        <row r="1038">
          <cell r="B1038" t="str">
            <v>0221452105161</v>
          </cell>
          <cell r="C1038" t="str">
            <v>GEM POPS!</v>
          </cell>
          <cell r="D1038" t="str">
            <v>R</v>
          </cell>
          <cell r="E1038" t="str">
            <v>Kt</v>
          </cell>
          <cell r="F1038" t="str">
            <v>Myall, Julia ; Lowe, Greg</v>
          </cell>
          <cell r="G1038" t="str">
            <v>CHIL</v>
          </cell>
          <cell r="H1038">
            <v>6.25</v>
          </cell>
          <cell r="I1038">
            <v>0</v>
          </cell>
        </row>
        <row r="1039">
          <cell r="B1039" t="str">
            <v>0221452105352</v>
          </cell>
          <cell r="C1039" t="str">
            <v>SUNDAY BRUNCH</v>
          </cell>
          <cell r="D1039" t="str">
            <v>R</v>
          </cell>
          <cell r="E1039" t="str">
            <v>Pb</v>
          </cell>
          <cell r="F1039" t="str">
            <v>Rosbottom, Betty ; Cushner, Susie</v>
          </cell>
          <cell r="G1039" t="str">
            <v>COOK</v>
          </cell>
          <cell r="H1039">
            <v>5.99</v>
          </cell>
          <cell r="I1039">
            <v>0</v>
          </cell>
        </row>
        <row r="1040">
          <cell r="B1040" t="str">
            <v>0221452105963</v>
          </cell>
          <cell r="C1040" t="str">
            <v>MIGHTY GASTROPOLIS: PORTLAND</v>
          </cell>
          <cell r="D1040" t="str">
            <v>R</v>
          </cell>
          <cell r="E1040" t="str">
            <v>PB</v>
          </cell>
          <cell r="F1040" t="str">
            <v>Brooks, Karen ; Gelber, Teri ; Bosker, Gideon</v>
          </cell>
          <cell r="G1040" t="str">
            <v>COOK</v>
          </cell>
          <cell r="H1040">
            <v>6.99</v>
          </cell>
          <cell r="I1040">
            <v>0</v>
          </cell>
        </row>
        <row r="1041">
          <cell r="B1041" t="str">
            <v>0221452106137</v>
          </cell>
          <cell r="C1041" t="str">
            <v>PEACE, BABY!</v>
          </cell>
          <cell r="D1041" t="str">
            <v>R</v>
          </cell>
          <cell r="E1041" t="str">
            <v>CL</v>
          </cell>
          <cell r="F1041" t="str">
            <v>Ashman, Linda ; Lew-Vriethoff, Joanne</v>
          </cell>
          <cell r="G1041" t="str">
            <v>CHIL</v>
          </cell>
          <cell r="H1041">
            <v>4.75</v>
          </cell>
          <cell r="I1041">
            <v>0</v>
          </cell>
        </row>
        <row r="1042">
          <cell r="B1042" t="str">
            <v>0221452106144</v>
          </cell>
          <cell r="C1042" t="str">
            <v>FLOUR, TOO</v>
          </cell>
          <cell r="D1042" t="str">
            <v>R</v>
          </cell>
          <cell r="E1042" t="str">
            <v>CL</v>
          </cell>
          <cell r="F1042" t="str">
            <v>Chang, Joanne ; Turkell, Michael Harlan</v>
          </cell>
          <cell r="G1042" t="str">
            <v>COOK</v>
          </cell>
          <cell r="H1042">
            <v>9.75</v>
          </cell>
          <cell r="I1042">
            <v>0</v>
          </cell>
        </row>
        <row r="1043">
          <cell r="B1043" t="str">
            <v>0221452106199</v>
          </cell>
          <cell r="C1043" t="str">
            <v>NEW YORK, BABY!</v>
          </cell>
          <cell r="D1043" t="str">
            <v>R</v>
          </cell>
          <cell r="E1043" t="str">
            <v>CL</v>
          </cell>
          <cell r="F1043" t="str">
            <v>Jenkins, Ward</v>
          </cell>
          <cell r="G1043" t="str">
            <v>CHIL</v>
          </cell>
          <cell r="H1043">
            <v>3.75</v>
          </cell>
          <cell r="I1043">
            <v>0</v>
          </cell>
        </row>
        <row r="1044">
          <cell r="B1044" t="str">
            <v>0221452106410</v>
          </cell>
          <cell r="C1044" t="str">
            <v>IN MY BARN</v>
          </cell>
          <cell r="D1044" t="str">
            <v>R</v>
          </cell>
          <cell r="E1044" t="str">
            <v>Bd</v>
          </cell>
          <cell r="F1044" t="str">
            <v>Gillingham, Sara ; Siminovich, Lorena</v>
          </cell>
          <cell r="G1044" t="str">
            <v>CHIL</v>
          </cell>
          <cell r="H1044">
            <v>2.99</v>
          </cell>
          <cell r="I1044">
            <v>0</v>
          </cell>
        </row>
        <row r="1045">
          <cell r="B1045" t="str">
            <v>0221452106441</v>
          </cell>
          <cell r="C1045" t="str">
            <v>INSIDE OUTSIDE</v>
          </cell>
          <cell r="D1045" t="str">
            <v>R</v>
          </cell>
          <cell r="E1045" t="str">
            <v>CL</v>
          </cell>
          <cell r="F1045" t="str">
            <v>Boyd, Lizi ; Boyd, Lizi</v>
          </cell>
          <cell r="G1045" t="str">
            <v>CHIL</v>
          </cell>
          <cell r="H1045">
            <v>4.5</v>
          </cell>
          <cell r="I1045">
            <v>0</v>
          </cell>
        </row>
        <row r="1046">
          <cell r="B1046" t="str">
            <v>0221452106519</v>
          </cell>
          <cell r="C1046" t="str">
            <v>FILM LISTOGRAPHY</v>
          </cell>
          <cell r="D1046" t="str">
            <v>R</v>
          </cell>
          <cell r="E1046" t="str">
            <v>Jn</v>
          </cell>
          <cell r="F1046" t="str">
            <v>Nola, Lisa</v>
          </cell>
          <cell r="G1046" t="str">
            <v>GIFT</v>
          </cell>
          <cell r="H1046">
            <v>4.99</v>
          </cell>
          <cell r="I1046">
            <v>0</v>
          </cell>
        </row>
        <row r="1047">
          <cell r="B1047" t="str">
            <v>0221452106601</v>
          </cell>
          <cell r="C1047" t="str">
            <v>SEX FORTUNES</v>
          </cell>
          <cell r="D1047" t="str">
            <v>R</v>
          </cell>
          <cell r="E1047" t="str">
            <v>NP</v>
          </cell>
          <cell r="F1047" t="str">
            <v>Stanton, Lynne</v>
          </cell>
          <cell r="G1047" t="str">
            <v>HUM</v>
          </cell>
          <cell r="H1047">
            <v>1.99</v>
          </cell>
          <cell r="I1047">
            <v>237</v>
          </cell>
        </row>
        <row r="1048">
          <cell r="B1048" t="str">
            <v>0221452106632</v>
          </cell>
          <cell r="C1048" t="str">
            <v>STEP IT UP KNITS</v>
          </cell>
          <cell r="D1048" t="str">
            <v>R</v>
          </cell>
          <cell r="E1048" t="str">
            <v>PB</v>
          </cell>
          <cell r="F1048" t="str">
            <v>Howell, Vickie ; Horton, Jody</v>
          </cell>
          <cell r="G1048" t="str">
            <v>CRAF</v>
          </cell>
          <cell r="H1048">
            <v>6.74</v>
          </cell>
          <cell r="I1048">
            <v>0</v>
          </cell>
        </row>
        <row r="1049">
          <cell r="B1049" t="str">
            <v>0221452107530</v>
          </cell>
          <cell r="C1049" t="str">
            <v>YOU'D BETTER NOT DIE OR I'LL K</v>
          </cell>
          <cell r="D1049" t="str">
            <v>R</v>
          </cell>
          <cell r="E1049" t="str">
            <v>PB</v>
          </cell>
          <cell r="F1049" t="str">
            <v>Heller, Jane</v>
          </cell>
          <cell r="G1049" t="str">
            <v>BIOG</v>
          </cell>
          <cell r="H1049">
            <v>5.49</v>
          </cell>
          <cell r="I1049">
            <v>0</v>
          </cell>
        </row>
        <row r="1050">
          <cell r="B1050" t="str">
            <v>0221452107547</v>
          </cell>
          <cell r="C1050" t="str">
            <v>BRING THE OUTDOORS IN</v>
          </cell>
          <cell r="D1050" t="str">
            <v>R</v>
          </cell>
          <cell r="E1050" t="str">
            <v>CL</v>
          </cell>
          <cell r="F1050" t="str">
            <v>Powers, Shane ; Cegielski, Jennifer</v>
          </cell>
          <cell r="G1050" t="str">
            <v>DOIT</v>
          </cell>
          <cell r="H1050">
            <v>7.24</v>
          </cell>
          <cell r="I1050">
            <v>0</v>
          </cell>
        </row>
        <row r="1051">
          <cell r="B1051" t="str">
            <v>0221452107752</v>
          </cell>
          <cell r="C1051" t="str">
            <v>BABYSITTING SECRETS</v>
          </cell>
          <cell r="D1051" t="str">
            <v>R</v>
          </cell>
          <cell r="E1051" t="str">
            <v>KT</v>
          </cell>
          <cell r="F1051" t="str">
            <v>Smith, Molly</v>
          </cell>
          <cell r="G1051" t="str">
            <v>CHIL</v>
          </cell>
          <cell r="H1051">
            <v>4.99</v>
          </cell>
          <cell r="I1051">
            <v>0</v>
          </cell>
        </row>
        <row r="1052">
          <cell r="B1052" t="str">
            <v>0221452107875</v>
          </cell>
          <cell r="C1052" t="str">
            <v>STENCIL STYLE 101</v>
          </cell>
          <cell r="D1052" t="str">
            <v>R</v>
          </cell>
          <cell r="E1052" t="str">
            <v>KT</v>
          </cell>
          <cell r="F1052" t="str">
            <v>Roth, Ed</v>
          </cell>
          <cell r="G1052" t="str">
            <v>CRAF</v>
          </cell>
          <cell r="H1052">
            <v>7.99</v>
          </cell>
          <cell r="I1052">
            <v>0</v>
          </cell>
        </row>
        <row r="1053">
          <cell r="B1053" t="str">
            <v>0221452108117</v>
          </cell>
          <cell r="C1053" t="str">
            <v>LITTLE CHICKEN FINGER PUPPET B</v>
          </cell>
          <cell r="D1053" t="str">
            <v>R</v>
          </cell>
          <cell r="E1053" t="str">
            <v>Bd</v>
          </cell>
          <cell r="G1053" t="str">
            <v>CHIL</v>
          </cell>
          <cell r="H1053">
            <v>1.9</v>
          </cell>
          <cell r="I1053">
            <v>0</v>
          </cell>
        </row>
        <row r="1054">
          <cell r="B1054" t="str">
            <v>0221452108261</v>
          </cell>
          <cell r="C1054" t="str">
            <v>LET'S BRING BACK: THE COCKTAIL</v>
          </cell>
          <cell r="D1054" t="str">
            <v>R</v>
          </cell>
          <cell r="E1054" t="str">
            <v>CL</v>
          </cell>
          <cell r="F1054" t="str">
            <v>Blume, Lesley M. M. ; McFerrin, Grady</v>
          </cell>
          <cell r="G1054" t="str">
            <v>COOK</v>
          </cell>
          <cell r="H1054">
            <v>5.49</v>
          </cell>
          <cell r="I1054">
            <v>0</v>
          </cell>
        </row>
        <row r="1055">
          <cell r="B1055" t="str">
            <v>0221452108346</v>
          </cell>
          <cell r="C1055" t="str">
            <v>MOMMY! MOMMY!</v>
          </cell>
          <cell r="D1055" t="str">
            <v>R</v>
          </cell>
          <cell r="E1055" t="str">
            <v>BD</v>
          </cell>
          <cell r="F1055" t="str">
            <v>Gomi, Taro</v>
          </cell>
          <cell r="G1055" t="str">
            <v>CHIL</v>
          </cell>
          <cell r="H1055">
            <v>2</v>
          </cell>
          <cell r="I1055">
            <v>0</v>
          </cell>
        </row>
        <row r="1056">
          <cell r="B1056" t="str">
            <v>0221452108520</v>
          </cell>
          <cell r="C1056" t="str">
            <v>EVA ZEISEL</v>
          </cell>
          <cell r="D1056" t="str">
            <v>R</v>
          </cell>
          <cell r="E1056" t="str">
            <v>CL</v>
          </cell>
          <cell r="F1056" t="str">
            <v>Kirkham, Pat ; Moore, Pat ; Wolfframm, Pirco</v>
          </cell>
          <cell r="G1056" t="str">
            <v>DESI</v>
          </cell>
          <cell r="H1056">
            <v>9.99</v>
          </cell>
          <cell r="I1056">
            <v>77</v>
          </cell>
        </row>
        <row r="1057">
          <cell r="B1057" t="str">
            <v>0221452108605</v>
          </cell>
          <cell r="C1057" t="str">
            <v>NOBODY'S SECRET</v>
          </cell>
          <cell r="D1057" t="str">
            <v>R</v>
          </cell>
          <cell r="E1057" t="str">
            <v>CL</v>
          </cell>
          <cell r="F1057" t="str">
            <v>MacColl, Michaela</v>
          </cell>
          <cell r="G1057" t="str">
            <v>CHIL</v>
          </cell>
          <cell r="H1057">
            <v>5</v>
          </cell>
          <cell r="I1057">
            <v>0</v>
          </cell>
        </row>
        <row r="1058">
          <cell r="B1058" t="str">
            <v>0221452108728</v>
          </cell>
          <cell r="C1058" t="str">
            <v>BREAD JOURNAL</v>
          </cell>
          <cell r="D1058" t="str">
            <v>R</v>
          </cell>
          <cell r="E1058" t="str">
            <v>JN</v>
          </cell>
          <cell r="F1058" t="str">
            <v>Chronicle Books</v>
          </cell>
          <cell r="G1058" t="str">
            <v>COOK</v>
          </cell>
          <cell r="H1058">
            <v>3.99</v>
          </cell>
          <cell r="I1058">
            <v>56</v>
          </cell>
        </row>
        <row r="1059">
          <cell r="B1059" t="str">
            <v>0221452108810</v>
          </cell>
          <cell r="C1059" t="str">
            <v>WHAT ON EARTH ARE YOU WEARING?</v>
          </cell>
          <cell r="D1059" t="str">
            <v>R</v>
          </cell>
          <cell r="E1059" t="str">
            <v>CL</v>
          </cell>
          <cell r="F1059" t="str">
            <v>Quigley, Chloe ; Pollock, Daniel ; Macleod, Kat</v>
          </cell>
          <cell r="G1059" t="str">
            <v>DESI</v>
          </cell>
          <cell r="H1059">
            <v>5.49</v>
          </cell>
          <cell r="I1059">
            <v>0</v>
          </cell>
        </row>
        <row r="1060">
          <cell r="B1060" t="str">
            <v>0221452108858</v>
          </cell>
          <cell r="C1060" t="str">
            <v>DADS ARE THE ORIGINAL HIPSTERS</v>
          </cell>
          <cell r="D1060" t="str">
            <v>R</v>
          </cell>
          <cell r="E1060" t="str">
            <v>Pb</v>
          </cell>
          <cell r="F1060" t="str">
            <v>Getty, Brad</v>
          </cell>
          <cell r="G1060" t="str">
            <v>PHOT</v>
          </cell>
          <cell r="H1060">
            <v>3.74</v>
          </cell>
          <cell r="I1060">
            <v>0</v>
          </cell>
        </row>
        <row r="1061">
          <cell r="B1061" t="str">
            <v>0221452109190</v>
          </cell>
          <cell r="C1061" t="str">
            <v>BOO ABC</v>
          </cell>
          <cell r="D1061" t="str">
            <v>R</v>
          </cell>
          <cell r="E1061" t="str">
            <v>CL</v>
          </cell>
          <cell r="F1061" t="str">
            <v>Lee, J.H. ; LeMaistre, Gretchen</v>
          </cell>
          <cell r="G1061" t="str">
            <v>CHIL</v>
          </cell>
          <cell r="H1061">
            <v>3.75</v>
          </cell>
          <cell r="I1061">
            <v>0</v>
          </cell>
        </row>
        <row r="1062">
          <cell r="B1062" t="str">
            <v>0221452109503</v>
          </cell>
          <cell r="C1062" t="str">
            <v>CRACKERS &amp; DIPS</v>
          </cell>
          <cell r="D1062" t="str">
            <v>R</v>
          </cell>
          <cell r="E1062" t="str">
            <v>PB</v>
          </cell>
          <cell r="F1062" t="str">
            <v>Manning, Ivy ; Altman, Jen</v>
          </cell>
          <cell r="G1062" t="str">
            <v>COOK</v>
          </cell>
          <cell r="H1062">
            <v>6.24</v>
          </cell>
          <cell r="I1062">
            <v>0</v>
          </cell>
        </row>
        <row r="1063">
          <cell r="B1063" t="str">
            <v>0221452109572</v>
          </cell>
          <cell r="C1063" t="str">
            <v>PETIT COLLAGE PARIS JOURNAL</v>
          </cell>
          <cell r="D1063" t="str">
            <v>R</v>
          </cell>
          <cell r="E1063" t="str">
            <v>JN</v>
          </cell>
          <cell r="F1063" t="str">
            <v>Siminovich, Lorena</v>
          </cell>
          <cell r="G1063" t="str">
            <v>GIFT</v>
          </cell>
          <cell r="H1063">
            <v>2.99</v>
          </cell>
          <cell r="I1063">
            <v>0</v>
          </cell>
        </row>
        <row r="1064">
          <cell r="B1064" t="str">
            <v>0221452109626</v>
          </cell>
          <cell r="C1064" t="str">
            <v>SLICE &amp; BAKE COOKIES</v>
          </cell>
          <cell r="D1064" t="str">
            <v>R</v>
          </cell>
          <cell r="E1064" t="str">
            <v>PB</v>
          </cell>
          <cell r="F1064" t="str">
            <v>Klivans, Elinor ; Kim, Yunhee</v>
          </cell>
          <cell r="G1064" t="str">
            <v>COOK</v>
          </cell>
          <cell r="H1064">
            <v>4.99</v>
          </cell>
          <cell r="I1064">
            <v>122</v>
          </cell>
        </row>
        <row r="1065">
          <cell r="B1065" t="str">
            <v>0221452109718</v>
          </cell>
          <cell r="C1065" t="str">
            <v>BOO: LITTLE DOG IN THE BIG CIT</v>
          </cell>
          <cell r="D1065" t="str">
            <v>R</v>
          </cell>
          <cell r="E1065" t="str">
            <v>CL</v>
          </cell>
          <cell r="F1065" t="str">
            <v>Lee, J.H.</v>
          </cell>
          <cell r="G1065" t="str">
            <v>CHIL</v>
          </cell>
          <cell r="H1065">
            <v>3.74</v>
          </cell>
          <cell r="I1065">
            <v>0</v>
          </cell>
        </row>
        <row r="1066">
          <cell r="B1066" t="str">
            <v>0221452110592</v>
          </cell>
          <cell r="C1066" t="str">
            <v>ULTIMATE BOOK OF SPORTS</v>
          </cell>
          <cell r="D1066" t="str">
            <v>R</v>
          </cell>
          <cell r="E1066" t="str">
            <v>CL</v>
          </cell>
          <cell r="F1066" t="str">
            <v>McNeely, Scott ; Mount, Arthur</v>
          </cell>
          <cell r="G1066" t="str">
            <v>SPOR</v>
          </cell>
          <cell r="H1066">
            <v>5.99</v>
          </cell>
          <cell r="I1066">
            <v>0</v>
          </cell>
        </row>
        <row r="1067">
          <cell r="B1067" t="str">
            <v>0221452110707</v>
          </cell>
          <cell r="C1067" t="str">
            <v>CLOCKWORK SCARAB: A STOKER &amp; H</v>
          </cell>
          <cell r="D1067" t="str">
            <v>R</v>
          </cell>
          <cell r="E1067" t="str">
            <v>CL</v>
          </cell>
          <cell r="F1067" t="str">
            <v>Gleason, Colleen</v>
          </cell>
          <cell r="G1067" t="str">
            <v>CHIL</v>
          </cell>
          <cell r="H1067">
            <v>5</v>
          </cell>
          <cell r="I1067">
            <v>0</v>
          </cell>
        </row>
        <row r="1068">
          <cell r="B1068" t="str">
            <v>0221452110882</v>
          </cell>
          <cell r="C1068" t="str">
            <v>ROLLING STONES 1972</v>
          </cell>
          <cell r="D1068" t="str">
            <v>R</v>
          </cell>
          <cell r="E1068" t="str">
            <v>CL</v>
          </cell>
          <cell r="F1068" t="str">
            <v>Marshall, Jim ; Richards, Keith</v>
          </cell>
          <cell r="G1068" t="str">
            <v>PHOT</v>
          </cell>
          <cell r="H1068">
            <v>7.24</v>
          </cell>
          <cell r="I1068">
            <v>0</v>
          </cell>
        </row>
        <row r="1069">
          <cell r="B1069" t="str">
            <v>0221452111544</v>
          </cell>
          <cell r="C1069" t="str">
            <v>STICK MAN'S REALLY BAD DAY</v>
          </cell>
          <cell r="D1069" t="str">
            <v>R</v>
          </cell>
          <cell r="E1069" t="str">
            <v>CL</v>
          </cell>
          <cell r="F1069" t="str">
            <v>Mockus, Steve</v>
          </cell>
          <cell r="G1069" t="str">
            <v>HUM</v>
          </cell>
          <cell r="H1069">
            <v>3.74</v>
          </cell>
          <cell r="I1069">
            <v>0</v>
          </cell>
        </row>
        <row r="1070">
          <cell r="B1070" t="str">
            <v>0221452111582</v>
          </cell>
          <cell r="C1070" t="str">
            <v>YETI, TURN OUT THE LIGHT!</v>
          </cell>
          <cell r="D1070" t="str">
            <v>R</v>
          </cell>
          <cell r="E1070" t="str">
            <v>CL</v>
          </cell>
          <cell r="F1070" t="str">
            <v>Long, Greg ; Edmundson, Chris ; Kirwan, Wednesday</v>
          </cell>
          <cell r="G1070" t="str">
            <v>CHIL</v>
          </cell>
          <cell r="H1070">
            <v>3.75</v>
          </cell>
          <cell r="I1070">
            <v>0</v>
          </cell>
        </row>
        <row r="1071">
          <cell r="B1071" t="str">
            <v>0221452111964</v>
          </cell>
          <cell r="C1071" t="str">
            <v>WHAT MY DOG IS THINKING JOURNA</v>
          </cell>
          <cell r="D1071" t="str">
            <v>R</v>
          </cell>
          <cell r="E1071" t="str">
            <v>JN</v>
          </cell>
          <cell r="F1071" t="str">
            <v>Mockus, Steve</v>
          </cell>
          <cell r="G1071" t="str">
            <v>GIFT</v>
          </cell>
          <cell r="H1071">
            <v>2.99</v>
          </cell>
          <cell r="I1071">
            <v>0</v>
          </cell>
        </row>
        <row r="1072">
          <cell r="B1072" t="str">
            <v>0221452112039</v>
          </cell>
          <cell r="C1072" t="str">
            <v>ANDY WARHOL DRAWINGS</v>
          </cell>
          <cell r="D1072" t="str">
            <v>R</v>
          </cell>
          <cell r="E1072" t="str">
            <v>CL</v>
          </cell>
          <cell r="F1072" t="str">
            <v>Warhol, Andy</v>
          </cell>
          <cell r="G1072" t="str">
            <v>ARTS</v>
          </cell>
          <cell r="H1072">
            <v>4.99</v>
          </cell>
          <cell r="I1072">
            <v>0</v>
          </cell>
        </row>
        <row r="1073">
          <cell r="B1073" t="str">
            <v>0221452112251</v>
          </cell>
          <cell r="C1073" t="str">
            <v>CONNECT THE THOUGHTS</v>
          </cell>
          <cell r="D1073" t="str">
            <v>R</v>
          </cell>
          <cell r="E1073" t="str">
            <v>JN</v>
          </cell>
          <cell r="G1073" t="str">
            <v>GIFT</v>
          </cell>
          <cell r="H1073">
            <v>3.99</v>
          </cell>
          <cell r="I1073">
            <v>0</v>
          </cell>
        </row>
        <row r="1074">
          <cell r="B1074" t="str">
            <v>0221452112589</v>
          </cell>
          <cell r="C1074" t="str">
            <v>1, 2, 3 QUILT</v>
          </cell>
          <cell r="D1074" t="str">
            <v>R</v>
          </cell>
          <cell r="E1074" t="str">
            <v>PB</v>
          </cell>
          <cell r="F1074" t="str">
            <v>Baker, Ellen Luckett ; Malek, Laura</v>
          </cell>
          <cell r="G1074" t="str">
            <v>CRAF</v>
          </cell>
          <cell r="H1074">
            <v>7.49</v>
          </cell>
          <cell r="I1074">
            <v>0</v>
          </cell>
        </row>
        <row r="1075">
          <cell r="B1075" t="str">
            <v>0221452112657</v>
          </cell>
          <cell r="C1075" t="str">
            <v>AH HA!</v>
          </cell>
          <cell r="D1075" t="str">
            <v>R</v>
          </cell>
          <cell r="E1075" t="str">
            <v>CL</v>
          </cell>
          <cell r="F1075" t="str">
            <v>Mack, Jeff</v>
          </cell>
          <cell r="G1075" t="str">
            <v>CHIL</v>
          </cell>
          <cell r="H1075">
            <v>4.99</v>
          </cell>
          <cell r="I1075">
            <v>203</v>
          </cell>
        </row>
        <row r="1076">
          <cell r="B1076" t="str">
            <v>0221452112879</v>
          </cell>
          <cell r="C1076" t="str">
            <v>PRESIONA AQUI (PRESS HERE SPAN</v>
          </cell>
          <cell r="D1076" t="str">
            <v>R</v>
          </cell>
          <cell r="E1076" t="str">
            <v>CL</v>
          </cell>
          <cell r="F1076" t="str">
            <v>Tullet, Herve</v>
          </cell>
          <cell r="G1076" t="str">
            <v>CHIL</v>
          </cell>
          <cell r="H1076">
            <v>4.99</v>
          </cell>
          <cell r="I1076">
            <v>0</v>
          </cell>
        </row>
        <row r="1077">
          <cell r="B1077" t="str">
            <v>0221452112893</v>
          </cell>
          <cell r="C1077" t="str">
            <v>LITTLE PRETTY BAKING KIT</v>
          </cell>
          <cell r="D1077" t="str">
            <v>R</v>
          </cell>
          <cell r="E1077" t="str">
            <v>KT</v>
          </cell>
          <cell r="F1077" t="str">
            <v>Carden, Jennifer ; Carden, Matthew</v>
          </cell>
          <cell r="G1077" t="str">
            <v>COOK</v>
          </cell>
          <cell r="H1077">
            <v>6.24</v>
          </cell>
          <cell r="I1077">
            <v>0</v>
          </cell>
        </row>
        <row r="1078">
          <cell r="B1078" t="str">
            <v>0221452113296</v>
          </cell>
          <cell r="C1078" t="str">
            <v>SORTED BOOKS</v>
          </cell>
          <cell r="D1078" t="str">
            <v>R</v>
          </cell>
          <cell r="E1078" t="str">
            <v>CL</v>
          </cell>
          <cell r="F1078" t="str">
            <v>Katchadourian, Nina ; Dillon, Brian</v>
          </cell>
          <cell r="G1078" t="str">
            <v>PHOT</v>
          </cell>
          <cell r="H1078">
            <v>6.99</v>
          </cell>
          <cell r="I1078">
            <v>0</v>
          </cell>
        </row>
        <row r="1079">
          <cell r="B1079" t="str">
            <v>0221452113524</v>
          </cell>
          <cell r="C1079" t="str">
            <v>FORGETFUL GENTLEMAN</v>
          </cell>
          <cell r="D1079" t="str">
            <v>R</v>
          </cell>
          <cell r="E1079" t="str">
            <v>CL</v>
          </cell>
          <cell r="F1079" t="str">
            <v>Tan, Nathan</v>
          </cell>
          <cell r="G1079" t="str">
            <v>SELF</v>
          </cell>
          <cell r="H1079">
            <v>5.99</v>
          </cell>
          <cell r="I1079">
            <v>0</v>
          </cell>
        </row>
        <row r="1080">
          <cell r="B1080" t="str">
            <v>0221452114071</v>
          </cell>
          <cell r="C1080" t="str">
            <v>TEN THOUSAND STORIES</v>
          </cell>
          <cell r="D1080" t="str">
            <v>R</v>
          </cell>
          <cell r="E1080" t="str">
            <v>CL</v>
          </cell>
          <cell r="F1080" t="str">
            <v>Swanson, Matthew ; Behr, Robbi</v>
          </cell>
          <cell r="G1080" t="str">
            <v>ARTS</v>
          </cell>
          <cell r="H1080">
            <v>5.99</v>
          </cell>
          <cell r="I1080">
            <v>12</v>
          </cell>
        </row>
        <row r="1081">
          <cell r="B1081" t="str">
            <v>0221452114187</v>
          </cell>
          <cell r="C1081" t="str">
            <v>ANALOG ADDRESS BOOK</v>
          </cell>
          <cell r="D1081" t="str">
            <v>R</v>
          </cell>
          <cell r="E1081" t="str">
            <v>AB</v>
          </cell>
          <cell r="F1081" t="str">
            <v>Rothman, Julia</v>
          </cell>
          <cell r="G1081" t="str">
            <v>GIFT</v>
          </cell>
          <cell r="H1081">
            <v>4.99</v>
          </cell>
          <cell r="I1081">
            <v>0</v>
          </cell>
        </row>
        <row r="1082">
          <cell r="B1082" t="str">
            <v>0221452115276</v>
          </cell>
          <cell r="C1082" t="str">
            <v>GETTING GROOMED</v>
          </cell>
          <cell r="D1082" t="str">
            <v>R</v>
          </cell>
          <cell r="E1082" t="str">
            <v>JN</v>
          </cell>
          <cell r="F1082" t="str">
            <v>Mitchell, Jason</v>
          </cell>
          <cell r="G1082" t="str">
            <v>REF</v>
          </cell>
          <cell r="H1082">
            <v>7.49</v>
          </cell>
          <cell r="I1082">
            <v>0</v>
          </cell>
        </row>
        <row r="1083">
          <cell r="B1083" t="str">
            <v>0221452115375</v>
          </cell>
          <cell r="C1083" t="str">
            <v>STREET FASHION PHOTOGRAPHY</v>
          </cell>
          <cell r="D1083" t="str">
            <v>R</v>
          </cell>
          <cell r="E1083" t="str">
            <v>PB</v>
          </cell>
          <cell r="F1083" t="str">
            <v>Dawson, Dyanna ; Tran, J.T.</v>
          </cell>
          <cell r="G1083" t="str">
            <v>PHOT</v>
          </cell>
          <cell r="H1083">
            <v>6.24</v>
          </cell>
          <cell r="I1083">
            <v>0</v>
          </cell>
        </row>
        <row r="1084">
          <cell r="B1084" t="str">
            <v>0221452115733</v>
          </cell>
          <cell r="C1084" t="str">
            <v>YIDDISH WISDOM</v>
          </cell>
          <cell r="D1084" t="str">
            <v>R</v>
          </cell>
          <cell r="E1084" t="str">
            <v>CL</v>
          </cell>
          <cell r="F1084" t="str">
            <v>Neal, Christopher Silas</v>
          </cell>
          <cell r="G1084" t="str">
            <v>LANDIC</v>
          </cell>
          <cell r="H1084">
            <v>4.74</v>
          </cell>
          <cell r="I1084">
            <v>0</v>
          </cell>
        </row>
        <row r="1085">
          <cell r="B1085" t="str">
            <v>0221452116655</v>
          </cell>
          <cell r="C1085" t="str">
            <v>WLD E CARLE VHC PLACEMATS</v>
          </cell>
          <cell r="D1085" t="str">
            <v>R</v>
          </cell>
          <cell r="E1085" t="str">
            <v>MI</v>
          </cell>
          <cell r="F1085" t="str">
            <v>Carle, Eric</v>
          </cell>
          <cell r="G1085" t="str">
            <v>CHIL</v>
          </cell>
          <cell r="H1085">
            <v>4.25</v>
          </cell>
          <cell r="I1085">
            <v>0</v>
          </cell>
        </row>
        <row r="1086">
          <cell r="B1086" t="str">
            <v>0221452116754</v>
          </cell>
          <cell r="C1086" t="str">
            <v>SMITTEN</v>
          </cell>
          <cell r="D1086" t="str">
            <v>R</v>
          </cell>
          <cell r="E1086" t="str">
            <v>CL</v>
          </cell>
          <cell r="F1086" t="str">
            <v>Kiley, Ariel ; Kornfeld, Simone</v>
          </cell>
          <cell r="G1086" t="str">
            <v>FAMI</v>
          </cell>
          <cell r="H1086">
            <v>5.74</v>
          </cell>
          <cell r="I1086">
            <v>0</v>
          </cell>
        </row>
        <row r="1087">
          <cell r="B1087" t="str">
            <v>0221452117379</v>
          </cell>
          <cell r="C1087" t="str">
            <v>100 QUESTIONS ABOUT SEX</v>
          </cell>
          <cell r="D1087" t="str">
            <v>R</v>
          </cell>
          <cell r="E1087" t="str">
            <v>DC</v>
          </cell>
          <cell r="F1087" t="str">
            <v>B., Petunia</v>
          </cell>
          <cell r="G1087" t="str">
            <v>SPOR</v>
          </cell>
          <cell r="H1087">
            <v>4.74</v>
          </cell>
          <cell r="I1087">
            <v>0</v>
          </cell>
        </row>
        <row r="1088">
          <cell r="B1088" t="str">
            <v>0221452118185</v>
          </cell>
          <cell r="C1088" t="str">
            <v>TRUE BLOOD DRINKS &amp; BITES</v>
          </cell>
          <cell r="D1088" t="str">
            <v>R</v>
          </cell>
          <cell r="E1088" t="str">
            <v>CL</v>
          </cell>
          <cell r="F1088" t="str">
            <v>Sobol, Gianna ; Ball, Alan ; Hayes, Benjamin</v>
          </cell>
          <cell r="G1088" t="str">
            <v>COOK</v>
          </cell>
          <cell r="H1088">
            <v>4.99</v>
          </cell>
          <cell r="I1088">
            <v>79</v>
          </cell>
        </row>
        <row r="1089">
          <cell r="B1089" t="str">
            <v>0221452119632</v>
          </cell>
          <cell r="C1089" t="str">
            <v>DONE.</v>
          </cell>
          <cell r="D1089" t="str">
            <v>R</v>
          </cell>
          <cell r="E1089" t="str">
            <v>CL</v>
          </cell>
          <cell r="F1089" t="str">
            <v>Peterson, James</v>
          </cell>
          <cell r="G1089" t="str">
            <v>COOK</v>
          </cell>
          <cell r="H1089">
            <v>7.99</v>
          </cell>
          <cell r="I1089">
            <v>220</v>
          </cell>
        </row>
        <row r="1090">
          <cell r="B1090" t="str">
            <v>0221452122328</v>
          </cell>
          <cell r="C1090" t="str">
            <v>WE WITHOUT YOU</v>
          </cell>
          <cell r="D1090" t="str">
            <v>R</v>
          </cell>
          <cell r="E1090" t="str">
            <v>CL</v>
          </cell>
          <cell r="F1090" t="str">
            <v>Swerling, Lisa ; Lazar, Ralph</v>
          </cell>
          <cell r="G1090" t="str">
            <v>FAMI</v>
          </cell>
          <cell r="H1090">
            <v>2.99</v>
          </cell>
          <cell r="I1090">
            <v>0</v>
          </cell>
        </row>
        <row r="1091">
          <cell r="B1091" t="str">
            <v>0221452124506</v>
          </cell>
          <cell r="C1091" t="str">
            <v>MR. SPOCK</v>
          </cell>
          <cell r="D1091" t="str">
            <v>R</v>
          </cell>
          <cell r="E1091" t="str">
            <v>MI</v>
          </cell>
          <cell r="F1091" t="str">
            <v>Chronicle Books Staff</v>
          </cell>
          <cell r="G1091" t="str">
            <v>PERF</v>
          </cell>
          <cell r="H1091">
            <v>6.24</v>
          </cell>
          <cell r="I1091">
            <v>0</v>
          </cell>
        </row>
        <row r="1092">
          <cell r="B1092" t="str">
            <v>0221452124568</v>
          </cell>
          <cell r="C1092" t="str">
            <v>UPSIDE DOWN IN THE MIDDLE OF N</v>
          </cell>
          <cell r="D1092" t="str">
            <v>R</v>
          </cell>
          <cell r="E1092" t="str">
            <v>CL</v>
          </cell>
          <cell r="F1092" t="str">
            <v>Lamana, Julie T.</v>
          </cell>
          <cell r="G1092" t="str">
            <v>CHIL</v>
          </cell>
          <cell r="H1092">
            <v>5</v>
          </cell>
          <cell r="I1092">
            <v>0</v>
          </cell>
        </row>
        <row r="1093">
          <cell r="B1093" t="str">
            <v>0221452125503</v>
          </cell>
          <cell r="C1093" t="str">
            <v>PENGUINS HATE STUFF</v>
          </cell>
          <cell r="D1093" t="str">
            <v>R</v>
          </cell>
          <cell r="E1093" t="str">
            <v>CL</v>
          </cell>
          <cell r="F1093" t="str">
            <v>Stones, Greg</v>
          </cell>
          <cell r="G1093" t="str">
            <v>HUM</v>
          </cell>
          <cell r="H1093">
            <v>2.99</v>
          </cell>
          <cell r="I1093">
            <v>0</v>
          </cell>
        </row>
        <row r="1094">
          <cell r="B1094" t="str">
            <v>0221452127040</v>
          </cell>
          <cell r="C1094" t="str">
            <v>TEMPLETON TWINS HAVE AN IDEA</v>
          </cell>
          <cell r="D1094" t="str">
            <v>R</v>
          </cell>
          <cell r="E1094" t="str">
            <v>PB</v>
          </cell>
          <cell r="F1094" t="str">
            <v>Weiner, Ellis ; Holmes, Jeremy</v>
          </cell>
          <cell r="G1094" t="str">
            <v>CHIL</v>
          </cell>
          <cell r="H1094">
            <v>2</v>
          </cell>
          <cell r="I1094">
            <v>0</v>
          </cell>
        </row>
        <row r="1095">
          <cell r="B1095" t="str">
            <v>0221452128542</v>
          </cell>
          <cell r="C1095" t="str">
            <v>NOBODY'S SECRET</v>
          </cell>
          <cell r="D1095" t="str">
            <v>R</v>
          </cell>
          <cell r="E1095" t="str">
            <v>PB</v>
          </cell>
          <cell r="F1095" t="str">
            <v>MacColl, Michaela</v>
          </cell>
          <cell r="G1095" t="str">
            <v>CHIL</v>
          </cell>
          <cell r="H1095">
            <v>3</v>
          </cell>
          <cell r="I1095">
            <v>0</v>
          </cell>
        </row>
        <row r="1096">
          <cell r="B1096" t="str">
            <v>0221452128955</v>
          </cell>
          <cell r="C1096" t="str">
            <v>UNPLUG EVERY DAY</v>
          </cell>
          <cell r="D1096" t="str">
            <v>R</v>
          </cell>
          <cell r="E1096" t="str">
            <v>JN</v>
          </cell>
          <cell r="G1096" t="str">
            <v>GIFT</v>
          </cell>
          <cell r="H1096">
            <v>4.99</v>
          </cell>
          <cell r="I1096">
            <v>0</v>
          </cell>
        </row>
        <row r="1097">
          <cell r="B1097" t="str">
            <v>0221586854119</v>
          </cell>
          <cell r="C1097" t="str">
            <v>BACKYARD BIRDING FOR KIDS</v>
          </cell>
          <cell r="D1097" t="str">
            <v>R</v>
          </cell>
          <cell r="E1097" t="str">
            <v>PB</v>
          </cell>
          <cell r="F1097" t="str">
            <v>Lee, Fran</v>
          </cell>
          <cell r="G1097" t="str">
            <v>CHIL</v>
          </cell>
          <cell r="H1097">
            <v>3.25</v>
          </cell>
          <cell r="I1097">
            <v>0</v>
          </cell>
        </row>
        <row r="1098">
          <cell r="B1098" t="str">
            <v>0221594852657</v>
          </cell>
          <cell r="C1098" t="str">
            <v>SNOWBOARDING</v>
          </cell>
          <cell r="D1098" t="str">
            <v>R</v>
          </cell>
          <cell r="E1098" t="str">
            <v>PB</v>
          </cell>
          <cell r="F1098" t="str">
            <v>Gallagher, Liam</v>
          </cell>
          <cell r="G1098" t="str">
            <v>SPOR</v>
          </cell>
          <cell r="H1098">
            <v>6.99</v>
          </cell>
          <cell r="I1098">
            <v>0</v>
          </cell>
        </row>
        <row r="1099">
          <cell r="B1099" t="str">
            <v>0221594853395</v>
          </cell>
          <cell r="C1099" t="str">
            <v>DON'T GET POISONED</v>
          </cell>
          <cell r="D1099" t="str">
            <v>R</v>
          </cell>
          <cell r="E1099" t="str">
            <v>PB</v>
          </cell>
          <cell r="F1099" t="str">
            <v>Tilton, Buck</v>
          </cell>
          <cell r="G1099" t="str">
            <v>NAT</v>
          </cell>
          <cell r="H1099">
            <v>2.49</v>
          </cell>
          <cell r="I1099">
            <v>0</v>
          </cell>
        </row>
        <row r="1100">
          <cell r="B1100" t="str">
            <v>0221608820290</v>
          </cell>
          <cell r="C1100" t="str">
            <v>THIRTY-MINUTE THERAPY FOR ANGE</v>
          </cell>
          <cell r="D1100" t="str">
            <v>R</v>
          </cell>
          <cell r="E1100" t="str">
            <v>PB</v>
          </cell>
          <cell r="F1100" t="str">
            <v>Potter-Efron, Ronald ; Potter-Efron, Patricia</v>
          </cell>
          <cell r="G1100" t="str">
            <v>SELF</v>
          </cell>
          <cell r="H1100">
            <v>4.79</v>
          </cell>
          <cell r="I1100">
            <v>0</v>
          </cell>
        </row>
        <row r="1101">
          <cell r="B1101" t="str">
            <v>0221608821105</v>
          </cell>
          <cell r="C1101" t="str">
            <v>COGNITIVE BEHAVIORAL WORKBOOK </v>
          </cell>
          <cell r="D1101" t="str">
            <v>R</v>
          </cell>
          <cell r="E1101" t="str">
            <v>PB</v>
          </cell>
          <cell r="F1101" t="str">
            <v>Green, Sheryl M ; McCabe, Randi E. ; Soares, Claudio N</v>
          </cell>
          <cell r="G1101" t="str">
            <v>HEAL</v>
          </cell>
          <cell r="H1101">
            <v>7.29</v>
          </cell>
          <cell r="I1101">
            <v>0</v>
          </cell>
        </row>
        <row r="1102">
          <cell r="B1102" t="str">
            <v>0221608821815</v>
          </cell>
          <cell r="C1102" t="str">
            <v>BIPOLAR DISORDER</v>
          </cell>
          <cell r="D1102" t="str">
            <v>R</v>
          </cell>
          <cell r="E1102" t="str">
            <v>PB</v>
          </cell>
          <cell r="F1102" t="str">
            <v>Caponigro, Janelle M. ; Lee, Erica H. ; Johnson, Sheri L</v>
          </cell>
          <cell r="G1102" t="str">
            <v>SELF</v>
          </cell>
          <cell r="H1102">
            <v>4.79</v>
          </cell>
          <cell r="I1102">
            <v>0</v>
          </cell>
        </row>
        <row r="1103">
          <cell r="B1103" t="str">
            <v>0221608821969</v>
          </cell>
          <cell r="C1103" t="str">
            <v>DEPRESSION</v>
          </cell>
          <cell r="D1103" t="str">
            <v>R</v>
          </cell>
          <cell r="E1103" t="str">
            <v>PB</v>
          </cell>
          <cell r="F1103" t="str">
            <v>Coleman, Lee H.</v>
          </cell>
          <cell r="G1103" t="str">
            <v>SELF</v>
          </cell>
          <cell r="H1103">
            <v>4.79</v>
          </cell>
          <cell r="I1103">
            <v>0</v>
          </cell>
        </row>
        <row r="1104">
          <cell r="B1104" t="str">
            <v>0221608822836</v>
          </cell>
          <cell r="C1104" t="str">
            <v>JOY COMPASS</v>
          </cell>
          <cell r="D1104" t="str">
            <v>R</v>
          </cell>
          <cell r="E1104" t="str">
            <v>PB</v>
          </cell>
          <cell r="F1104" t="str">
            <v>Altman, Donald ; Biswas-Diener, Robert</v>
          </cell>
          <cell r="G1104" t="str">
            <v>SELF</v>
          </cell>
          <cell r="H1104">
            <v>4.99</v>
          </cell>
          <cell r="I1104">
            <v>0</v>
          </cell>
        </row>
        <row r="1105">
          <cell r="B1105" t="str">
            <v>0221616891374</v>
          </cell>
          <cell r="C1105" t="str">
            <v>CASA ALTA</v>
          </cell>
          <cell r="D1105" t="str">
            <v>R</v>
          </cell>
          <cell r="E1105" t="str">
            <v>CL</v>
          </cell>
          <cell r="F1105" t="str">
            <v>McMillan, Elizabeth ; Barnes, Richard ; Loomis, John</v>
          </cell>
          <cell r="G1105" t="str">
            <v>ARCH</v>
          </cell>
          <cell r="H1105">
            <v>15.5</v>
          </cell>
          <cell r="I1105">
            <v>0</v>
          </cell>
        </row>
        <row r="1106">
          <cell r="B1106" t="str">
            <v>0221616891411</v>
          </cell>
          <cell r="C1106" t="str">
            <v>BIRD WATCHING AND OTHER NATURE</v>
          </cell>
          <cell r="D1106" t="str">
            <v>R</v>
          </cell>
          <cell r="E1106" t="str">
            <v>CL</v>
          </cell>
          <cell r="F1106" t="str">
            <v>Kiser, Joy M.</v>
          </cell>
          <cell r="G1106" t="str">
            <v>NAT</v>
          </cell>
          <cell r="H1106">
            <v>4.74</v>
          </cell>
          <cell r="I1106">
            <v>0</v>
          </cell>
        </row>
        <row r="1107">
          <cell r="B1107" t="str">
            <v>0221616891565</v>
          </cell>
          <cell r="C1107" t="str">
            <v>MORE SCENES FROM THE RURAL LIF</v>
          </cell>
          <cell r="D1107" t="str">
            <v>R</v>
          </cell>
          <cell r="E1107" t="str">
            <v>CL</v>
          </cell>
          <cell r="F1107" t="str">
            <v>Klinkenborg, Verlyn</v>
          </cell>
          <cell r="G1107" t="str">
            <v>BIOG</v>
          </cell>
          <cell r="H1107">
            <v>7.49</v>
          </cell>
          <cell r="I1107">
            <v>0</v>
          </cell>
        </row>
        <row r="1108">
          <cell r="B1108" t="str">
            <v>0221616892227</v>
          </cell>
          <cell r="C1108" t="str">
            <v>SHOES</v>
          </cell>
          <cell r="D1108" t="str">
            <v>R</v>
          </cell>
          <cell r="E1108" t="str">
            <v>CL</v>
          </cell>
          <cell r="F1108" t="str">
            <v>O'Keeffe, Linda</v>
          </cell>
          <cell r="G1108" t="str">
            <v>SELF</v>
          </cell>
          <cell r="H1108">
            <v>4.99</v>
          </cell>
          <cell r="I1108">
            <v>0</v>
          </cell>
        </row>
        <row r="1109">
          <cell r="B1109" t="str">
            <v>0221742204932</v>
          </cell>
          <cell r="C1109" t="str">
            <v>LIGHTS, CAMERA... TRAVEL!</v>
          </cell>
          <cell r="D1109" t="str">
            <v>R</v>
          </cell>
          <cell r="E1109" t="str">
            <v>Pb</v>
          </cell>
          <cell r="F1109" t="str">
            <v>Publications, Lonely Planet</v>
          </cell>
          <cell r="G1109" t="str">
            <v>TRAV</v>
          </cell>
          <cell r="H1109">
            <v>4.75</v>
          </cell>
          <cell r="I1109">
            <v>0</v>
          </cell>
        </row>
        <row r="1110">
          <cell r="B1110" t="str">
            <v>0221743215050</v>
          </cell>
          <cell r="C1110" t="str">
            <v>ONE PLANET #2</v>
          </cell>
          <cell r="D1110" t="str">
            <v>R</v>
          </cell>
          <cell r="E1110" t="str">
            <v>CL</v>
          </cell>
          <cell r="G1110" t="str">
            <v>TRAV</v>
          </cell>
          <cell r="H1110">
            <v>4.75</v>
          </cell>
          <cell r="I1110">
            <v>0</v>
          </cell>
        </row>
        <row r="1111">
          <cell r="B1111" t="str">
            <v>0221743218457</v>
          </cell>
          <cell r="C1111" t="str">
            <v>CALM 1stED</v>
          </cell>
          <cell r="D1111" t="str">
            <v>R</v>
          </cell>
          <cell r="E1111" t="str">
            <v>PB</v>
          </cell>
          <cell r="F1111" t="str">
            <v>Ashby, Johanna ; Leviton, Alex</v>
          </cell>
          <cell r="G1111" t="str">
            <v>SELF</v>
          </cell>
          <cell r="H1111">
            <v>3.99</v>
          </cell>
          <cell r="I1111">
            <v>352</v>
          </cell>
        </row>
        <row r="1112">
          <cell r="B1112" t="str">
            <v>0221770460003</v>
          </cell>
          <cell r="C1112" t="str">
            <v>WILD KINGDOM</v>
          </cell>
          <cell r="D1112" t="str">
            <v>R</v>
          </cell>
          <cell r="E1112" t="str">
            <v>CL</v>
          </cell>
          <cell r="F1112" t="str">
            <v>Huizenga, Kevin</v>
          </cell>
          <cell r="G1112" t="str">
            <v>Comi</v>
          </cell>
          <cell r="H1112">
            <v>5.25</v>
          </cell>
          <cell r="I1112">
            <v>0</v>
          </cell>
        </row>
        <row r="1113">
          <cell r="B1113" t="str">
            <v>0221770460089</v>
          </cell>
          <cell r="C1113" t="str">
            <v>EDEN</v>
          </cell>
          <cell r="D1113" t="str">
            <v>R</v>
          </cell>
          <cell r="E1113" t="str">
            <v>PB</v>
          </cell>
          <cell r="F1113" t="str">
            <v>Holmberg, Pablo</v>
          </cell>
          <cell r="G1113" t="str">
            <v>COMI</v>
          </cell>
          <cell r="H1113">
            <v>4.5</v>
          </cell>
          <cell r="I1113">
            <v>0</v>
          </cell>
        </row>
        <row r="1114">
          <cell r="B1114" t="str">
            <v>0221770460218</v>
          </cell>
          <cell r="C1114" t="str">
            <v>MAKE ME A WOMAN</v>
          </cell>
          <cell r="D1114" t="str">
            <v>R</v>
          </cell>
          <cell r="E1114" t="str">
            <v>CL</v>
          </cell>
          <cell r="F1114" t="str">
            <v>Davis, Vanessa</v>
          </cell>
          <cell r="G1114" t="str">
            <v>COMI</v>
          </cell>
          <cell r="H1114">
            <v>6.75</v>
          </cell>
          <cell r="I1114">
            <v>0</v>
          </cell>
        </row>
        <row r="1115">
          <cell r="B1115" t="str">
            <v>0221770460300</v>
          </cell>
          <cell r="C1115" t="str">
            <v>MELVIN MONSTER, VOLUME THREE 3</v>
          </cell>
          <cell r="D1115" t="str">
            <v>R</v>
          </cell>
          <cell r="E1115" t="str">
            <v>CL</v>
          </cell>
          <cell r="F1115" t="str">
            <v>Stanley, John</v>
          </cell>
          <cell r="G1115" t="str">
            <v>COMI</v>
          </cell>
          <cell r="H1115">
            <v>6.75</v>
          </cell>
          <cell r="I1115">
            <v>0</v>
          </cell>
        </row>
        <row r="1116">
          <cell r="B1116" t="str">
            <v>0221770460454</v>
          </cell>
          <cell r="C1116" t="str">
            <v>CONSTRUCTIVE ABANDONMENT</v>
          </cell>
          <cell r="D1116" t="str">
            <v>R</v>
          </cell>
          <cell r="E1116" t="str">
            <v>Cl</v>
          </cell>
          <cell r="F1116" t="str">
            <v>Dumontier, Michael ; Farber, Neil</v>
          </cell>
          <cell r="G1116" t="str">
            <v>ARTS</v>
          </cell>
          <cell r="H1116">
            <v>3.99</v>
          </cell>
          <cell r="I1116">
            <v>0</v>
          </cell>
        </row>
        <row r="1117">
          <cell r="B1117" t="str">
            <v>0221770460508</v>
          </cell>
          <cell r="C1117" t="str">
            <v>NANCY VOLUME 3</v>
          </cell>
          <cell r="D1117" t="str">
            <v>R</v>
          </cell>
          <cell r="E1117" t="str">
            <v>Cl</v>
          </cell>
          <cell r="F1117" t="str">
            <v>Stanley, John</v>
          </cell>
          <cell r="G1117" t="str">
            <v>COMI</v>
          </cell>
          <cell r="H1117">
            <v>7.49</v>
          </cell>
          <cell r="I1117">
            <v>0</v>
          </cell>
        </row>
        <row r="1118">
          <cell r="B1118" t="str">
            <v>0221770460560</v>
          </cell>
          <cell r="C1118" t="str">
            <v>NIPPER 1965-1966</v>
          </cell>
          <cell r="D1118" t="str">
            <v>R</v>
          </cell>
          <cell r="E1118" t="str">
            <v>Pb</v>
          </cell>
          <cell r="F1118" t="str">
            <v>Wright, Doug ; Seth</v>
          </cell>
          <cell r="G1118" t="str">
            <v>COMI</v>
          </cell>
          <cell r="H1118">
            <v>4.25</v>
          </cell>
          <cell r="I1118">
            <v>0</v>
          </cell>
        </row>
        <row r="1119">
          <cell r="B1119" t="str">
            <v>0221770460614</v>
          </cell>
          <cell r="C1119" t="str">
            <v>GLORIANA</v>
          </cell>
          <cell r="D1119" t="str">
            <v>R</v>
          </cell>
          <cell r="E1119" t="str">
            <v>CL</v>
          </cell>
          <cell r="F1119" t="str">
            <v>Huizenga, Kevin</v>
          </cell>
          <cell r="G1119" t="str">
            <v>COMI</v>
          </cell>
          <cell r="H1119">
            <v>4.99</v>
          </cell>
          <cell r="I1119">
            <v>0</v>
          </cell>
        </row>
        <row r="1120">
          <cell r="B1120" t="str">
            <v>0221770460669</v>
          </cell>
          <cell r="C1120" t="str">
            <v>BIRDSEYE BRISTOE</v>
          </cell>
          <cell r="D1120" t="str">
            <v>R</v>
          </cell>
          <cell r="E1120" t="str">
            <v>CL</v>
          </cell>
          <cell r="F1120" t="str">
            <v>Zettwoch, Dan</v>
          </cell>
          <cell r="G1120" t="str">
            <v>COMI</v>
          </cell>
          <cell r="H1120">
            <v>4.99</v>
          </cell>
          <cell r="I1120">
            <v>0</v>
          </cell>
        </row>
        <row r="1121">
          <cell r="B1121" t="str">
            <v>0221770460935</v>
          </cell>
          <cell r="C1121" t="str">
            <v>NIPPER 1967-1968</v>
          </cell>
          <cell r="D1121" t="str">
            <v>R</v>
          </cell>
          <cell r="E1121" t="str">
            <v>PB</v>
          </cell>
          <cell r="F1121" t="str">
            <v>Wright, Doug</v>
          </cell>
          <cell r="G1121" t="str">
            <v>COMI</v>
          </cell>
          <cell r="H1121">
            <v>4.25</v>
          </cell>
          <cell r="I1121">
            <v>0</v>
          </cell>
        </row>
        <row r="1122">
          <cell r="B1122" t="str">
            <v>0221780670195</v>
          </cell>
          <cell r="C1122" t="str">
            <v>BAG</v>
          </cell>
          <cell r="D1122" t="str">
            <v>R</v>
          </cell>
          <cell r="E1122" t="str">
            <v>PB</v>
          </cell>
          <cell r="F1122" t="str">
            <v>Huey, Sue ; Draffan, Susie</v>
          </cell>
          <cell r="G1122" t="str">
            <v>DESI</v>
          </cell>
          <cell r="H1122">
            <v>4.99</v>
          </cell>
          <cell r="I1122">
            <v>0</v>
          </cell>
        </row>
        <row r="1123">
          <cell r="B1123" t="str">
            <v>0221780671130</v>
          </cell>
          <cell r="C1123" t="str">
            <v>STICKER FASHIONISTA</v>
          </cell>
          <cell r="D1123" t="str">
            <v>R</v>
          </cell>
          <cell r="E1123" t="str">
            <v>PB</v>
          </cell>
          <cell r="F1123" t="str">
            <v>Smith, Kelly</v>
          </cell>
          <cell r="G1123" t="str">
            <v>CHIL</v>
          </cell>
          <cell r="H1123">
            <v>3.74</v>
          </cell>
          <cell r="I1123">
            <v>0</v>
          </cell>
        </row>
        <row r="1124">
          <cell r="B1124" t="str">
            <v>0221780673028</v>
          </cell>
          <cell r="C1124" t="str">
            <v>RESEARCH METHODS FOR PRODUCT D</v>
          </cell>
          <cell r="D1124" t="str">
            <v>R</v>
          </cell>
          <cell r="E1124" t="str">
            <v>PB</v>
          </cell>
          <cell r="F1124" t="str">
            <v>Milton, Alex ; Rodgers, Paul</v>
          </cell>
          <cell r="G1124" t="str">
            <v>DESI</v>
          </cell>
          <cell r="H1124">
            <v>12.5</v>
          </cell>
          <cell r="I1124">
            <v>0</v>
          </cell>
        </row>
        <row r="1125">
          <cell r="B1125" t="str">
            <v>0221848504806</v>
          </cell>
          <cell r="C1125" t="str">
            <v>EARTH WISDOM</v>
          </cell>
          <cell r="D1125" t="str">
            <v>R</v>
          </cell>
          <cell r="E1125" t="str">
            <v>PB</v>
          </cell>
          <cell r="F1125" t="str">
            <v>Kindred, Glennie</v>
          </cell>
          <cell r="G1125" t="str">
            <v>FICT</v>
          </cell>
          <cell r="H1125">
            <v>4.99</v>
          </cell>
          <cell r="I1125">
            <v>0</v>
          </cell>
        </row>
        <row r="1126">
          <cell r="B1126" t="str">
            <v>0221856695909</v>
          </cell>
          <cell r="C1126" t="str">
            <v>DETAIL CONTEMPORARY BATHRO</v>
          </cell>
          <cell r="D1126" t="str">
            <v>R</v>
          </cell>
          <cell r="E1126" t="str">
            <v>CL</v>
          </cell>
          <cell r="F1126" t="str">
            <v>McLeod, Virginia</v>
          </cell>
          <cell r="G1126" t="str">
            <v>ARCH</v>
          </cell>
          <cell r="H1126">
            <v>8.99</v>
          </cell>
          <cell r="I1126">
            <v>0</v>
          </cell>
        </row>
        <row r="1127">
          <cell r="B1127" t="str">
            <v>0221856696289</v>
          </cell>
          <cell r="C1127" t="str">
            <v>MADE &amp; SOLD</v>
          </cell>
          <cell r="D1127" t="str">
            <v>R</v>
          </cell>
          <cell r="E1127" t="str">
            <v>PB</v>
          </cell>
          <cell r="F1127" t="str">
            <v>Fl@33</v>
          </cell>
          <cell r="G1127" t="str">
            <v>DESI</v>
          </cell>
          <cell r="H1127">
            <v>5.99</v>
          </cell>
          <cell r="I1127">
            <v>95</v>
          </cell>
        </row>
        <row r="1128">
          <cell r="B1128" t="str">
            <v>0221896597980</v>
          </cell>
          <cell r="C1128" t="str">
            <v>DRAWN QUARTERLY 4 SHOWCASE</v>
          </cell>
          <cell r="D1128" t="str">
            <v>R</v>
          </cell>
          <cell r="E1128" t="str">
            <v>PB</v>
          </cell>
          <cell r="F1128" t="str">
            <v>Oliveros, Chris</v>
          </cell>
          <cell r="G1128" t="str">
            <v>FICT</v>
          </cell>
          <cell r="H1128">
            <v>3.99</v>
          </cell>
          <cell r="I1128">
            <v>27</v>
          </cell>
        </row>
        <row r="1129">
          <cell r="B1129" t="str">
            <v>0221897299371</v>
          </cell>
          <cell r="C1129" t="str">
            <v>GOOD-BYE</v>
          </cell>
          <cell r="D1129" t="str">
            <v>R</v>
          </cell>
          <cell r="E1129" t="str">
            <v>Cl</v>
          </cell>
          <cell r="F1129" t="str">
            <v>Tatsumi, Yoshihiro ; Tomine, Adrian</v>
          </cell>
          <cell r="G1129" t="str">
            <v>COMI</v>
          </cell>
          <cell r="H1129">
            <v>6.75</v>
          </cell>
          <cell r="I1129">
            <v>0</v>
          </cell>
        </row>
        <row r="1130">
          <cell r="B1130" t="str">
            <v>0221897299388</v>
          </cell>
          <cell r="C1130" t="str">
            <v>BUN FIELD</v>
          </cell>
          <cell r="D1130" t="str">
            <v>R</v>
          </cell>
          <cell r="E1130" t="str">
            <v>PB</v>
          </cell>
          <cell r="F1130" t="str">
            <v>Vahamaki, Amanda</v>
          </cell>
          <cell r="G1130" t="str">
            <v>Comi</v>
          </cell>
          <cell r="H1130">
            <v>2.99</v>
          </cell>
          <cell r="I1130">
            <v>41</v>
          </cell>
        </row>
        <row r="1131">
          <cell r="B1131" t="str">
            <v>0221897299661</v>
          </cell>
          <cell r="C1131" t="str">
            <v>BALONEY</v>
          </cell>
          <cell r="D1131" t="str">
            <v>R</v>
          </cell>
          <cell r="E1131" t="str">
            <v>PB</v>
          </cell>
          <cell r="F1131" t="str">
            <v>Blanchet, Pascal</v>
          </cell>
          <cell r="G1131" t="str">
            <v>Comi</v>
          </cell>
          <cell r="H1131">
            <v>3.99</v>
          </cell>
          <cell r="I1131">
            <v>21</v>
          </cell>
        </row>
        <row r="1132">
          <cell r="B1132" t="str">
            <v>0221897299869</v>
          </cell>
          <cell r="C1132" t="str">
            <v>RED SNOW</v>
          </cell>
          <cell r="D1132" t="str">
            <v>R</v>
          </cell>
          <cell r="E1132" t="str">
            <v>CL</v>
          </cell>
          <cell r="F1132" t="str">
            <v>Katsumata, Susumu</v>
          </cell>
          <cell r="G1132" t="str">
            <v>FICT</v>
          </cell>
          <cell r="H1132">
            <v>3.99</v>
          </cell>
          <cell r="I1132">
            <v>0</v>
          </cell>
        </row>
        <row r="1133">
          <cell r="B1133" t="str">
            <v>0221897299876</v>
          </cell>
          <cell r="C1133" t="str">
            <v>KLONDIKE</v>
          </cell>
          <cell r="D1133" t="str">
            <v>R</v>
          </cell>
          <cell r="E1133" t="str">
            <v>Pb</v>
          </cell>
          <cell r="F1133" t="str">
            <v>Worton, Zach</v>
          </cell>
          <cell r="G1133" t="str">
            <v>COMI</v>
          </cell>
          <cell r="H1133">
            <v>6.25</v>
          </cell>
          <cell r="I1133">
            <v>0</v>
          </cell>
        </row>
        <row r="1134">
          <cell r="B1134" t="str">
            <v>0221897299913</v>
          </cell>
          <cell r="C1134" t="str">
            <v>BOX MAN</v>
          </cell>
          <cell r="D1134" t="str">
            <v>R</v>
          </cell>
          <cell r="E1134" t="str">
            <v>CL</v>
          </cell>
          <cell r="F1134" t="str">
            <v>Sakabashira, Imiri </v>
          </cell>
          <cell r="G1134" t="str">
            <v>FICT</v>
          </cell>
          <cell r="H1134">
            <v>5.99</v>
          </cell>
          <cell r="I1134">
            <v>0</v>
          </cell>
        </row>
        <row r="1135">
          <cell r="B1135" t="str">
            <v>0221897299920</v>
          </cell>
          <cell r="C1135" t="str">
            <v>CATLAND EMPIRE</v>
          </cell>
          <cell r="D1135" t="str">
            <v>R</v>
          </cell>
          <cell r="E1135" t="str">
            <v>PB</v>
          </cell>
          <cell r="F1135" t="str">
            <v>Jones, Keith</v>
          </cell>
          <cell r="G1135" t="str">
            <v>Comi</v>
          </cell>
          <cell r="H1135">
            <v>8.25</v>
          </cell>
          <cell r="I1135">
            <v>0</v>
          </cell>
        </row>
        <row r="1136">
          <cell r="B1136" t="str">
            <v>0221927958155</v>
          </cell>
          <cell r="C1136" t="str">
            <v>MISS VICKIE'S KITCHEN</v>
          </cell>
          <cell r="D1136" t="str">
            <v>R</v>
          </cell>
          <cell r="E1136" t="str">
            <v>CL</v>
          </cell>
          <cell r="F1136" t="str">
            <v>Kerr, Vickie</v>
          </cell>
          <cell r="G1136" t="str">
            <v>COOK</v>
          </cell>
          <cell r="H1136">
            <v>7.49</v>
          </cell>
          <cell r="I1136">
            <v>720</v>
          </cell>
        </row>
        <row r="1137">
          <cell r="B1137" t="str">
            <v>0221927958216</v>
          </cell>
          <cell r="C1137" t="str">
            <v>MIRACLE AT THE FORKS</v>
          </cell>
          <cell r="D1137" t="str">
            <v>R</v>
          </cell>
          <cell r="E1137" t="str">
            <v>CL</v>
          </cell>
          <cell r="F1137" t="str">
            <v>Newman, Peter C. ; Levine, Allan</v>
          </cell>
          <cell r="G1137" t="str">
            <v>POLI</v>
          </cell>
          <cell r="H1137">
            <v>11.25</v>
          </cell>
          <cell r="I1137">
            <v>20</v>
          </cell>
        </row>
        <row r="1138">
          <cell r="B1138" t="str">
            <v>0221927958445</v>
          </cell>
          <cell r="C1138" t="str">
            <v>BUSINESS IS ART</v>
          </cell>
          <cell r="D1138" t="str">
            <v>R</v>
          </cell>
          <cell r="E1138" t="str">
            <v>PB</v>
          </cell>
          <cell r="F1138" t="str">
            <v>Umstead, Jon</v>
          </cell>
          <cell r="G1138" t="str">
            <v>BUSI</v>
          </cell>
          <cell r="H1138">
            <v>5.25</v>
          </cell>
          <cell r="I1138">
            <v>331</v>
          </cell>
        </row>
        <row r="1139">
          <cell r="B1139" t="str">
            <v>0221935305477</v>
          </cell>
          <cell r="C1139" t="str">
            <v>MAG LITTLE BOX FA LA LA WORD M</v>
          </cell>
          <cell r="D1139" t="str">
            <v>R</v>
          </cell>
          <cell r="E1139" t="str">
            <v>BX</v>
          </cell>
          <cell r="G1139" t="str">
            <v>GAME</v>
          </cell>
          <cell r="H1139">
            <v>2.29</v>
          </cell>
          <cell r="I11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3"/>
  <sheetViews>
    <sheetView showGridLines="0" showRowColHeaders="0" tabSelected="1" zoomScale="90" zoomScaleNormal="90" workbookViewId="0" topLeftCell="A1">
      <pane ySplit="1" topLeftCell="A2" activePane="bottomLeft" state="frozen"/>
      <selection pane="bottomLeft" activeCell="H334" sqref="H334"/>
    </sheetView>
  </sheetViews>
  <sheetFormatPr defaultColWidth="9.140625" defaultRowHeight="15"/>
  <cols>
    <col min="1" max="1" width="8.7109375" style="19" customWidth="1"/>
    <col min="2" max="2" width="15.421875" style="58" customWidth="1"/>
    <col min="3" max="3" width="11.421875" style="19" customWidth="1"/>
    <col min="4" max="4" width="31.00390625" style="5" customWidth="1"/>
    <col min="5" max="5" width="23.57421875" style="5" customWidth="1"/>
    <col min="6" max="6" width="9.7109375" style="19" customWidth="1"/>
    <col min="7" max="7" width="4.421875" style="21" customWidth="1"/>
    <col min="8" max="8" width="10.421875" style="41" customWidth="1"/>
    <col min="9" max="9" width="5.28125" style="19" customWidth="1"/>
    <col min="10" max="10" width="8.421875" style="19" customWidth="1"/>
    <col min="11" max="11" width="4.8515625" style="23" customWidth="1"/>
    <col min="12" max="12" width="4.8515625" style="19" customWidth="1"/>
    <col min="13" max="13" width="16.140625" style="19" customWidth="1"/>
    <col min="14" max="14" width="8.7109375" style="27" customWidth="1"/>
    <col min="15" max="15" width="8.7109375" style="5" customWidth="1"/>
    <col min="16" max="16384" width="8.7109375" style="19" customWidth="1"/>
  </cols>
  <sheetData>
    <row r="1" spans="1:15" s="18" customFormat="1" ht="51.5" customHeight="1">
      <c r="A1" s="12" t="s">
        <v>1346</v>
      </c>
      <c r="B1" s="13" t="s">
        <v>1347</v>
      </c>
      <c r="C1" s="12" t="s">
        <v>1340</v>
      </c>
      <c r="D1" s="12" t="s">
        <v>0</v>
      </c>
      <c r="E1" s="12" t="s">
        <v>502</v>
      </c>
      <c r="F1" s="13" t="s">
        <v>1</v>
      </c>
      <c r="G1" s="13" t="s">
        <v>1348</v>
      </c>
      <c r="H1" s="13" t="s">
        <v>1349</v>
      </c>
      <c r="I1" s="14" t="s">
        <v>501</v>
      </c>
      <c r="J1" s="13" t="s">
        <v>1350</v>
      </c>
      <c r="K1" s="12" t="s">
        <v>1351</v>
      </c>
      <c r="L1" s="13" t="s">
        <v>1352</v>
      </c>
      <c r="M1" s="24" t="s">
        <v>1353</v>
      </c>
      <c r="N1" s="16" t="s">
        <v>1381</v>
      </c>
      <c r="O1" s="17"/>
    </row>
    <row r="2" spans="1:17" s="28" customFormat="1" ht="15.5">
      <c r="A2" s="42"/>
      <c r="B2" s="54" t="s">
        <v>1382</v>
      </c>
      <c r="C2" s="12"/>
      <c r="D2" s="12"/>
      <c r="E2" s="12"/>
      <c r="F2" s="13"/>
      <c r="G2" s="13"/>
      <c r="H2" s="39"/>
      <c r="I2" s="14"/>
      <c r="J2" s="13"/>
      <c r="K2" s="12"/>
      <c r="L2" s="13"/>
      <c r="M2" s="15"/>
      <c r="N2" s="26"/>
      <c r="O2" s="18"/>
      <c r="P2" s="29"/>
      <c r="Q2" s="29"/>
    </row>
    <row r="3" spans="1:17" ht="29.5" customHeight="1">
      <c r="A3" s="32"/>
      <c r="B3" s="55" t="str">
        <f>"0221452108520"</f>
        <v>0221452108520</v>
      </c>
      <c r="C3" s="33" t="s">
        <v>1377</v>
      </c>
      <c r="D3" s="34" t="s">
        <v>654</v>
      </c>
      <c r="E3" s="34" t="s">
        <v>655</v>
      </c>
      <c r="F3" s="32" t="s">
        <v>489</v>
      </c>
      <c r="G3" s="32" t="s">
        <v>8</v>
      </c>
      <c r="H3" s="40">
        <v>9.99</v>
      </c>
      <c r="I3" s="32"/>
      <c r="J3" s="35">
        <f>VLOOKUP(B3,'[1]remainderlist'!$B$1:$I$1139,8,FALSE)</f>
        <v>77</v>
      </c>
      <c r="K3" s="33" t="s">
        <v>647</v>
      </c>
      <c r="L3" s="32">
        <v>8</v>
      </c>
      <c r="M3" s="32" t="str">
        <f>"9781452108520"</f>
        <v>9781452108520</v>
      </c>
      <c r="N3" s="36">
        <v>70</v>
      </c>
      <c r="O3" s="20" t="s">
        <v>506</v>
      </c>
      <c r="P3" s="19"/>
      <c r="Q3" s="19"/>
    </row>
    <row r="4" spans="1:17" ht="29.5" customHeight="1">
      <c r="A4" s="32"/>
      <c r="B4" s="55" t="str">
        <f>"0220811855600"</f>
        <v>0220811855600</v>
      </c>
      <c r="C4" s="33" t="s">
        <v>1377</v>
      </c>
      <c r="D4" s="34" t="s">
        <v>504</v>
      </c>
      <c r="E4" s="34" t="s">
        <v>505</v>
      </c>
      <c r="F4" s="32" t="s">
        <v>420</v>
      </c>
      <c r="G4" s="32" t="s">
        <v>8</v>
      </c>
      <c r="H4" s="40">
        <v>8.99</v>
      </c>
      <c r="I4" s="32"/>
      <c r="J4" s="35">
        <f>VLOOKUP(B4,'[1]remainderlist'!$B$1:$I$1139,8,FALSE)</f>
        <v>90</v>
      </c>
      <c r="K4" s="33" t="s">
        <v>509</v>
      </c>
      <c r="L4" s="32">
        <v>10</v>
      </c>
      <c r="M4" s="32" t="str">
        <f>"9780811855600"</f>
        <v>9780811855600</v>
      </c>
      <c r="N4" s="36">
        <v>50</v>
      </c>
      <c r="O4" s="20" t="s">
        <v>506</v>
      </c>
      <c r="P4" s="19"/>
      <c r="Q4" s="19"/>
    </row>
    <row r="5" spans="1:17" ht="29.5" customHeight="1">
      <c r="A5" s="32"/>
      <c r="B5" s="55" t="str">
        <f>"0201780673228"</f>
        <v>0201780673228</v>
      </c>
      <c r="C5" s="33" t="s">
        <v>1343</v>
      </c>
      <c r="D5" s="34" t="s">
        <v>787</v>
      </c>
      <c r="E5" s="34" t="s">
        <v>506</v>
      </c>
      <c r="F5" s="32" t="s">
        <v>372</v>
      </c>
      <c r="G5" s="32" t="s">
        <v>6</v>
      </c>
      <c r="H5" s="40">
        <v>11.99</v>
      </c>
      <c r="I5" s="32"/>
      <c r="J5" s="35">
        <f>VLOOKUP(B5,'[1]remainderlist'!$B$1:$I$1139,8,FALSE)</f>
        <v>87</v>
      </c>
      <c r="K5" s="33" t="s">
        <v>643</v>
      </c>
      <c r="L5" s="32">
        <v>20</v>
      </c>
      <c r="M5" s="32" t="str">
        <f>"9781780673226"</f>
        <v>9781780673226</v>
      </c>
      <c r="N5" s="36">
        <v>57</v>
      </c>
      <c r="O5" s="20" t="s">
        <v>506</v>
      </c>
      <c r="P5" s="19"/>
      <c r="Q5" s="19"/>
    </row>
    <row r="6" spans="1:17" ht="29.5" customHeight="1">
      <c r="A6" s="32"/>
      <c r="B6" s="55" t="str">
        <f>"0201452117203"</f>
        <v>0201452117203</v>
      </c>
      <c r="C6" s="33" t="s">
        <v>1377</v>
      </c>
      <c r="D6" s="34" t="s">
        <v>813</v>
      </c>
      <c r="E6" s="34" t="s">
        <v>814</v>
      </c>
      <c r="F6" s="32" t="s">
        <v>245</v>
      </c>
      <c r="G6" s="32" t="s">
        <v>8</v>
      </c>
      <c r="H6" s="40">
        <v>9.99</v>
      </c>
      <c r="I6" s="32"/>
      <c r="J6" s="35">
        <f>VLOOKUP(B6,'[1]remainderlist'!$B$1:$I$1139,8,FALSE)</f>
        <v>229</v>
      </c>
      <c r="K6" s="33" t="s">
        <v>509</v>
      </c>
      <c r="L6" s="32">
        <v>18</v>
      </c>
      <c r="M6" s="32" t="str">
        <f>"9781452117201"</f>
        <v>9781452117201</v>
      </c>
      <c r="N6" s="36">
        <v>57</v>
      </c>
      <c r="O6" s="20" t="s">
        <v>506</v>
      </c>
      <c r="P6" s="19"/>
      <c r="Q6" s="19"/>
    </row>
    <row r="7" spans="1:17" ht="29.5" customHeight="1">
      <c r="A7" s="32"/>
      <c r="B7" s="55" t="str">
        <f>"0221927958216"</f>
        <v>0221927958216</v>
      </c>
      <c r="C7" s="33" t="s">
        <v>1341</v>
      </c>
      <c r="D7" s="34" t="s">
        <v>1328</v>
      </c>
      <c r="E7" s="34" t="s">
        <v>1329</v>
      </c>
      <c r="F7" s="32" t="s">
        <v>499</v>
      </c>
      <c r="G7" s="32" t="s">
        <v>8</v>
      </c>
      <c r="H7" s="40">
        <v>11.25</v>
      </c>
      <c r="I7" s="37" t="s">
        <v>501</v>
      </c>
      <c r="J7" s="35">
        <f>VLOOKUP(B7,'[1]remainderlist'!$B$1:$I$1139,8,FALSE)</f>
        <v>20</v>
      </c>
      <c r="K7" s="33" t="s">
        <v>509</v>
      </c>
      <c r="L7" s="32">
        <v>10</v>
      </c>
      <c r="M7" s="32" t="str">
        <f>"9781927958216"</f>
        <v>9781927958216</v>
      </c>
      <c r="N7" s="36">
        <v>45</v>
      </c>
      <c r="O7" s="20" t="s">
        <v>506</v>
      </c>
      <c r="P7" s="19"/>
      <c r="Q7" s="19"/>
    </row>
    <row r="8" spans="1:17" ht="29.5" customHeight="1">
      <c r="A8" s="32"/>
      <c r="B8" s="55" t="str">
        <f>"0201780673709"</f>
        <v>0201780673709</v>
      </c>
      <c r="C8" s="33" t="s">
        <v>1343</v>
      </c>
      <c r="D8" s="34" t="s">
        <v>1025</v>
      </c>
      <c r="E8" s="34" t="s">
        <v>506</v>
      </c>
      <c r="F8" s="32" t="s">
        <v>374</v>
      </c>
      <c r="G8" s="32" t="s">
        <v>6</v>
      </c>
      <c r="H8" s="40">
        <v>5.99</v>
      </c>
      <c r="I8" s="32"/>
      <c r="J8" s="35">
        <f>VLOOKUP(B8,'[1]remainderlist'!$B$1:$I$1139,8,FALSE)</f>
        <v>129</v>
      </c>
      <c r="K8" s="33" t="s">
        <v>509</v>
      </c>
      <c r="L8" s="32">
        <v>24</v>
      </c>
      <c r="M8" s="32" t="str">
        <f>"9781780673707"</f>
        <v>9781780673707</v>
      </c>
      <c r="N8" s="36">
        <v>27.95</v>
      </c>
      <c r="O8" s="20" t="s">
        <v>506</v>
      </c>
      <c r="P8" s="19"/>
      <c r="Q8" s="19"/>
    </row>
    <row r="9" spans="1:17" ht="29.5" customHeight="1">
      <c r="A9" s="32"/>
      <c r="B9" s="55" t="str">
        <f>"0201780674706"</f>
        <v>0201780674706</v>
      </c>
      <c r="C9" s="33" t="s">
        <v>1343</v>
      </c>
      <c r="D9" s="34" t="s">
        <v>1013</v>
      </c>
      <c r="E9" s="34" t="s">
        <v>1014</v>
      </c>
      <c r="F9" s="32" t="s">
        <v>376</v>
      </c>
      <c r="G9" s="32" t="s">
        <v>6</v>
      </c>
      <c r="H9" s="40">
        <v>7.99</v>
      </c>
      <c r="I9" s="32"/>
      <c r="J9" s="35">
        <f>VLOOKUP(B9,'[1]remainderlist'!$B$1:$I$1139,8,FALSE)</f>
        <v>46</v>
      </c>
      <c r="K9" s="33" t="s">
        <v>807</v>
      </c>
      <c r="L9" s="32">
        <v>22</v>
      </c>
      <c r="M9" s="32" t="str">
        <f>"9781780674704"</f>
        <v>9781780674704</v>
      </c>
      <c r="N9" s="36">
        <v>41.95</v>
      </c>
      <c r="O9" s="20" t="s">
        <v>506</v>
      </c>
      <c r="P9" s="19"/>
      <c r="Q9" s="19"/>
    </row>
    <row r="10" spans="1:17" ht="29.5" customHeight="1">
      <c r="A10" s="32"/>
      <c r="B10" s="55" t="str">
        <f>"0201423636580"</f>
        <v>0201423636580</v>
      </c>
      <c r="C10" s="33" t="s">
        <v>766</v>
      </c>
      <c r="D10" s="34" t="s">
        <v>1196</v>
      </c>
      <c r="E10" s="34" t="s">
        <v>1197</v>
      </c>
      <c r="F10" s="32" t="s">
        <v>203</v>
      </c>
      <c r="G10" s="32" t="s">
        <v>8</v>
      </c>
      <c r="H10" s="40">
        <v>11.99</v>
      </c>
      <c r="I10" s="32"/>
      <c r="J10" s="35">
        <f>VLOOKUP(B10,'[1]remainderlist'!$B$1:$I$1139,8,FALSE)</f>
        <v>40</v>
      </c>
      <c r="K10" s="33" t="s">
        <v>868</v>
      </c>
      <c r="L10" s="32">
        <v>10</v>
      </c>
      <c r="M10" s="32" t="str">
        <f>"9781423636588"</f>
        <v>9781423636588</v>
      </c>
      <c r="N10" s="36">
        <v>70</v>
      </c>
      <c r="O10" s="20" t="s">
        <v>506</v>
      </c>
      <c r="P10" s="19"/>
      <c r="Q10" s="19"/>
    </row>
    <row r="11" spans="1:17" ht="29.5" customHeight="1">
      <c r="A11" s="32"/>
      <c r="B11" s="55" t="str">
        <f>"0221856696289"</f>
        <v>0221856696289</v>
      </c>
      <c r="C11" s="33" t="s">
        <v>1343</v>
      </c>
      <c r="D11" s="34" t="s">
        <v>602</v>
      </c>
      <c r="E11" s="34" t="s">
        <v>603</v>
      </c>
      <c r="F11" s="32" t="s">
        <v>494</v>
      </c>
      <c r="G11" s="32" t="s">
        <v>6</v>
      </c>
      <c r="H11" s="40">
        <v>5.99</v>
      </c>
      <c r="I11" s="32"/>
      <c r="J11" s="35">
        <f>VLOOKUP(B11,'[1]remainderlist'!$B$1:$I$1139,8,FALSE)</f>
        <v>95</v>
      </c>
      <c r="K11" s="33" t="s">
        <v>604</v>
      </c>
      <c r="L11" s="32">
        <v>20</v>
      </c>
      <c r="M11" s="32" t="str">
        <f>"9781856696289"</f>
        <v>9781856696289</v>
      </c>
      <c r="N11" s="36">
        <v>29.95</v>
      </c>
      <c r="O11" s="20" t="s">
        <v>506</v>
      </c>
      <c r="P11" s="19"/>
      <c r="Q11" s="19"/>
    </row>
    <row r="12" spans="1:17" ht="29.5" customHeight="1">
      <c r="A12" s="32"/>
      <c r="B12" s="55" t="str">
        <f>"0201780673365"</f>
        <v>0201780673365</v>
      </c>
      <c r="C12" s="33" t="s">
        <v>1343</v>
      </c>
      <c r="D12" s="34" t="s">
        <v>786</v>
      </c>
      <c r="E12" s="34" t="s">
        <v>786</v>
      </c>
      <c r="F12" s="32" t="s">
        <v>373</v>
      </c>
      <c r="G12" s="32" t="s">
        <v>8</v>
      </c>
      <c r="H12" s="40">
        <v>12.99</v>
      </c>
      <c r="I12" s="32"/>
      <c r="J12" s="35">
        <f>VLOOKUP(B12,'[1]remainderlist'!$B$1:$I$1139,8,FALSE)</f>
        <v>68</v>
      </c>
      <c r="K12" s="33" t="s">
        <v>643</v>
      </c>
      <c r="L12" s="32">
        <v>10</v>
      </c>
      <c r="M12" s="32" t="str">
        <f>"9781780673363"</f>
        <v>9781780673363</v>
      </c>
      <c r="N12" s="36">
        <v>70</v>
      </c>
      <c r="O12" s="20" t="s">
        <v>506</v>
      </c>
      <c r="P12" s="19"/>
      <c r="Q12" s="19"/>
    </row>
    <row r="13" spans="1:17" ht="29.5" customHeight="1">
      <c r="A13" s="32"/>
      <c r="B13" s="55" t="str">
        <f>"0201452140065"</f>
        <v>0201452140065</v>
      </c>
      <c r="C13" s="33" t="s">
        <v>1377</v>
      </c>
      <c r="D13" s="34" t="s">
        <v>987</v>
      </c>
      <c r="E13" s="34" t="s">
        <v>988</v>
      </c>
      <c r="F13" s="32" t="s">
        <v>296</v>
      </c>
      <c r="G13" s="32" t="s">
        <v>8</v>
      </c>
      <c r="H13" s="40">
        <v>7.99</v>
      </c>
      <c r="I13" s="32"/>
      <c r="J13" s="35">
        <f>VLOOKUP(B13,'[1]remainderlist'!$B$1:$I$1139,8,FALSE)</f>
        <v>164</v>
      </c>
      <c r="K13" s="33" t="s">
        <v>868</v>
      </c>
      <c r="L13" s="32">
        <v>12</v>
      </c>
      <c r="M13" s="32" t="str">
        <f>"9781452140063"</f>
        <v>9781452140063</v>
      </c>
      <c r="N13" s="36">
        <v>42</v>
      </c>
      <c r="O13" s="20" t="s">
        <v>506</v>
      </c>
      <c r="P13" s="19"/>
      <c r="Q13" s="19"/>
    </row>
    <row r="14" spans="1:17" s="10" customFormat="1" ht="15">
      <c r="A14" s="43"/>
      <c r="B14" s="52" t="s">
        <v>1354</v>
      </c>
      <c r="C14" s="6"/>
      <c r="D14" s="6"/>
      <c r="E14" s="6"/>
      <c r="F14" s="7"/>
      <c r="G14" s="7"/>
      <c r="H14" s="44"/>
      <c r="I14" s="8"/>
      <c r="J14" s="7"/>
      <c r="K14" s="6"/>
      <c r="L14" s="7"/>
      <c r="M14" s="9"/>
      <c r="N14" s="25"/>
      <c r="O14" s="11"/>
      <c r="P14" s="30"/>
      <c r="Q14" s="30"/>
    </row>
    <row r="15" spans="1:17" ht="29.5" customHeight="1">
      <c r="A15" s="32"/>
      <c r="B15" s="56" t="str">
        <f>"0201741174856"</f>
        <v>0201741174856</v>
      </c>
      <c r="C15" s="33" t="s">
        <v>1345</v>
      </c>
      <c r="D15" s="34" t="s">
        <v>1268</v>
      </c>
      <c r="E15" s="34" t="s">
        <v>506</v>
      </c>
      <c r="F15" s="32" t="s">
        <v>345</v>
      </c>
      <c r="G15" s="32" t="s">
        <v>8</v>
      </c>
      <c r="H15" s="40">
        <v>12.5</v>
      </c>
      <c r="I15" s="37" t="s">
        <v>501</v>
      </c>
      <c r="J15" s="35">
        <f>VLOOKUP(B15,'[1]remainderlist'!$B$1:$I$1139,8,FALSE)</f>
        <v>60</v>
      </c>
      <c r="K15" s="33" t="s">
        <v>986</v>
      </c>
      <c r="L15" s="32">
        <v>12</v>
      </c>
      <c r="M15" s="32" t="str">
        <f>"9781741174854"</f>
        <v>9781741174854</v>
      </c>
      <c r="N15" s="36">
        <v>49.99</v>
      </c>
      <c r="O15" s="20" t="s">
        <v>506</v>
      </c>
      <c r="P15" s="19"/>
      <c r="Q15" s="19"/>
    </row>
    <row r="16" spans="1:17" ht="29.5" customHeight="1">
      <c r="A16" s="32"/>
      <c r="B16" s="56" t="str">
        <f>"0201780671859"</f>
        <v>0201780671859</v>
      </c>
      <c r="C16" s="33" t="s">
        <v>1343</v>
      </c>
      <c r="D16" s="34" t="s">
        <v>788</v>
      </c>
      <c r="E16" s="34" t="s">
        <v>506</v>
      </c>
      <c r="F16" s="32" t="s">
        <v>369</v>
      </c>
      <c r="G16" s="32" t="s">
        <v>8</v>
      </c>
      <c r="H16" s="40">
        <v>4.99</v>
      </c>
      <c r="I16" s="32"/>
      <c r="J16" s="35">
        <f>VLOOKUP(B16,'[1]remainderlist'!$B$1:$I$1139,8,FALSE)</f>
        <v>147</v>
      </c>
      <c r="K16" s="33" t="s">
        <v>509</v>
      </c>
      <c r="L16" s="32">
        <v>40</v>
      </c>
      <c r="M16" s="32" t="str">
        <f>"9781780671857"</f>
        <v>9781780671857</v>
      </c>
      <c r="N16" s="36">
        <v>22.5</v>
      </c>
      <c r="O16" s="20" t="s">
        <v>506</v>
      </c>
      <c r="P16" s="19"/>
      <c r="Q16" s="19"/>
    </row>
    <row r="17" spans="1:17" ht="29.5" customHeight="1">
      <c r="A17" s="32"/>
      <c r="B17" s="56" t="str">
        <f>"0201927958294"</f>
        <v>0201927958294</v>
      </c>
      <c r="C17" s="33" t="s">
        <v>1341</v>
      </c>
      <c r="D17" s="34" t="s">
        <v>1335</v>
      </c>
      <c r="E17" s="34" t="s">
        <v>1336</v>
      </c>
      <c r="F17" s="32" t="s">
        <v>419</v>
      </c>
      <c r="G17" s="32" t="s">
        <v>8</v>
      </c>
      <c r="H17" s="40">
        <v>10</v>
      </c>
      <c r="I17" s="37" t="s">
        <v>501</v>
      </c>
      <c r="J17" s="35">
        <f>VLOOKUP(B17,'[1]remainderlist'!$B$1:$I$1139,8,FALSE)</f>
        <v>644</v>
      </c>
      <c r="K17" s="33" t="s">
        <v>868</v>
      </c>
      <c r="L17" s="32">
        <v>12</v>
      </c>
      <c r="M17" s="32" t="str">
        <f>"9781927958292"</f>
        <v>9781927958292</v>
      </c>
      <c r="N17" s="36">
        <v>40</v>
      </c>
      <c r="O17" s="20" t="s">
        <v>506</v>
      </c>
      <c r="P17" s="19"/>
      <c r="Q17" s="19"/>
    </row>
    <row r="18" spans="1:17" ht="29.5" customHeight="1">
      <c r="A18" s="32"/>
      <c r="B18" s="56" t="str">
        <f>"0201927958096"</f>
        <v>0201927958096</v>
      </c>
      <c r="C18" s="33" t="s">
        <v>1341</v>
      </c>
      <c r="D18" s="34" t="s">
        <v>1339</v>
      </c>
      <c r="E18" s="34" t="s">
        <v>506</v>
      </c>
      <c r="F18" s="32" t="s">
        <v>417</v>
      </c>
      <c r="G18" s="32" t="s">
        <v>8</v>
      </c>
      <c r="H18" s="40">
        <v>11.25</v>
      </c>
      <c r="I18" s="37" t="s">
        <v>501</v>
      </c>
      <c r="J18" s="35">
        <f>VLOOKUP(B18,'[1]remainderlist'!$B$1:$I$1139,8,FALSE)</f>
        <v>1199</v>
      </c>
      <c r="K18" s="33" t="s">
        <v>509</v>
      </c>
      <c r="L18" s="32">
        <v>10</v>
      </c>
      <c r="M18" s="32" t="str">
        <f>"9781927958094"</f>
        <v>9781927958094</v>
      </c>
      <c r="N18" s="36">
        <v>45</v>
      </c>
      <c r="O18" s="20" t="s">
        <v>506</v>
      </c>
      <c r="P18" s="19"/>
      <c r="Q18" s="19"/>
    </row>
    <row r="19" spans="1:17" ht="29.5" customHeight="1">
      <c r="A19" s="32"/>
      <c r="B19" s="56" t="str">
        <f>"0201452128230"</f>
        <v>0201452128230</v>
      </c>
      <c r="C19" s="33" t="s">
        <v>1377</v>
      </c>
      <c r="D19" s="34" t="s">
        <v>974</v>
      </c>
      <c r="E19" s="34" t="s">
        <v>506</v>
      </c>
      <c r="F19" s="32" t="s">
        <v>268</v>
      </c>
      <c r="G19" s="32" t="s">
        <v>6</v>
      </c>
      <c r="H19" s="40">
        <v>6.99</v>
      </c>
      <c r="I19" s="32"/>
      <c r="J19" s="35">
        <f>VLOOKUP(B19,'[1]remainderlist'!$B$1:$I$1139,8,FALSE)</f>
        <v>60</v>
      </c>
      <c r="K19" s="33" t="s">
        <v>868</v>
      </c>
      <c r="L19" s="32">
        <v>12</v>
      </c>
      <c r="M19" s="32" t="str">
        <f>"9781452128238"</f>
        <v>9781452128238</v>
      </c>
      <c r="N19" s="36">
        <v>35.95</v>
      </c>
      <c r="O19" s="20" t="s">
        <v>506</v>
      </c>
      <c r="P19" s="19"/>
      <c r="Q19" s="19"/>
    </row>
    <row r="20" spans="1:17" ht="29.5" customHeight="1">
      <c r="A20" s="32"/>
      <c r="B20" s="56" t="str">
        <f>"0201780671897"</f>
        <v>0201780671897</v>
      </c>
      <c r="C20" s="33" t="s">
        <v>1343</v>
      </c>
      <c r="D20" s="34" t="s">
        <v>789</v>
      </c>
      <c r="E20" s="34" t="s">
        <v>506</v>
      </c>
      <c r="F20" s="32" t="s">
        <v>370</v>
      </c>
      <c r="G20" s="32" t="s">
        <v>8</v>
      </c>
      <c r="H20" s="40">
        <v>3.99</v>
      </c>
      <c r="I20" s="32"/>
      <c r="J20" s="35">
        <f>VLOOKUP(B20,'[1]remainderlist'!$B$1:$I$1139,8,FALSE)</f>
        <v>182</v>
      </c>
      <c r="K20" s="33" t="s">
        <v>509</v>
      </c>
      <c r="L20" s="32">
        <v>40</v>
      </c>
      <c r="M20" s="32" t="str">
        <f>"9781780671895"</f>
        <v>9781780671895</v>
      </c>
      <c r="N20" s="36">
        <v>22.5</v>
      </c>
      <c r="O20" s="20" t="s">
        <v>506</v>
      </c>
      <c r="P20" s="19"/>
      <c r="Q20" s="19"/>
    </row>
    <row r="21" spans="1:17" ht="29.5" customHeight="1">
      <c r="A21" s="32"/>
      <c r="B21" s="56" t="str">
        <f>"0201780671835"</f>
        <v>0201780671835</v>
      </c>
      <c r="C21" s="33" t="s">
        <v>1343</v>
      </c>
      <c r="D21" s="34" t="s">
        <v>783</v>
      </c>
      <c r="E21" s="34" t="s">
        <v>506</v>
      </c>
      <c r="F21" s="32" t="s">
        <v>368</v>
      </c>
      <c r="G21" s="32" t="s">
        <v>6</v>
      </c>
      <c r="H21" s="40">
        <v>6.99</v>
      </c>
      <c r="I21" s="32"/>
      <c r="J21" s="35">
        <f>VLOOKUP(B21,'[1]remainderlist'!$B$1:$I$1139,8,FALSE)</f>
        <v>40</v>
      </c>
      <c r="K21" s="33" t="s">
        <v>509</v>
      </c>
      <c r="L21" s="32">
        <v>30</v>
      </c>
      <c r="M21" s="32" t="str">
        <f>"9781780671833"</f>
        <v>9781780671833</v>
      </c>
      <c r="N21" s="36">
        <v>35.95</v>
      </c>
      <c r="O21" s="20" t="s">
        <v>506</v>
      </c>
      <c r="P21" s="19"/>
      <c r="Q21" s="19"/>
    </row>
    <row r="22" spans="1:17" ht="29.5" customHeight="1">
      <c r="A22" s="32"/>
      <c r="B22" s="56" t="str">
        <f>"0201856699398"</f>
        <v>0201856699398</v>
      </c>
      <c r="C22" s="33" t="s">
        <v>1343</v>
      </c>
      <c r="D22" s="34" t="s">
        <v>784</v>
      </c>
      <c r="E22" s="34" t="s">
        <v>785</v>
      </c>
      <c r="F22" s="32" t="s">
        <v>416</v>
      </c>
      <c r="G22" s="32" t="s">
        <v>20</v>
      </c>
      <c r="H22" s="40">
        <v>6.99</v>
      </c>
      <c r="I22" s="32"/>
      <c r="J22" s="35">
        <f>VLOOKUP(B22,'[1]remainderlist'!$B$1:$I$1139,8,FALSE)</f>
        <v>60</v>
      </c>
      <c r="K22" s="33" t="s">
        <v>643</v>
      </c>
      <c r="L22" s="32">
        <v>10</v>
      </c>
      <c r="M22" s="32" t="str">
        <f>"9781856699396"</f>
        <v>9781856699396</v>
      </c>
      <c r="N22" s="36">
        <v>32.95</v>
      </c>
      <c r="O22" s="20" t="s">
        <v>506</v>
      </c>
      <c r="P22" s="19"/>
      <c r="Q22" s="19"/>
    </row>
    <row r="23" spans="1:17" ht="29.5" customHeight="1">
      <c r="A23" s="32"/>
      <c r="B23" s="56" t="str">
        <f>"0201616894544"</f>
        <v>0201616894544</v>
      </c>
      <c r="C23" s="33" t="s">
        <v>1380</v>
      </c>
      <c r="D23" s="34" t="s">
        <v>1318</v>
      </c>
      <c r="E23" s="34" t="s">
        <v>1319</v>
      </c>
      <c r="F23" s="32" t="s">
        <v>336</v>
      </c>
      <c r="G23" s="32" t="s">
        <v>6</v>
      </c>
      <c r="H23" s="40">
        <v>10.49</v>
      </c>
      <c r="I23" s="37" t="s">
        <v>501</v>
      </c>
      <c r="J23" s="35">
        <f>VLOOKUP(B23,'[1]remainderlist'!$B$1:$I$1139,8,FALSE)</f>
        <v>68</v>
      </c>
      <c r="K23" s="33" t="s">
        <v>905</v>
      </c>
      <c r="L23" s="32">
        <v>14</v>
      </c>
      <c r="M23" s="32" t="str">
        <f>"9781616894542"</f>
        <v>9781616894542</v>
      </c>
      <c r="N23" s="36">
        <v>41.95</v>
      </c>
      <c r="O23" s="20" t="s">
        <v>506</v>
      </c>
      <c r="P23" s="19"/>
      <c r="Q23" s="19"/>
    </row>
    <row r="24" spans="1:17" s="10" customFormat="1" ht="15">
      <c r="A24" s="43"/>
      <c r="B24" s="52" t="s">
        <v>1385</v>
      </c>
      <c r="C24" s="6"/>
      <c r="D24" s="6"/>
      <c r="E24" s="6"/>
      <c r="F24" s="7"/>
      <c r="G24" s="7"/>
      <c r="H24" s="44"/>
      <c r="I24" s="8"/>
      <c r="J24" s="7"/>
      <c r="K24" s="6"/>
      <c r="L24" s="7"/>
      <c r="M24" s="9"/>
      <c r="N24" s="25"/>
      <c r="O24" s="11"/>
      <c r="P24" s="30"/>
      <c r="Q24" s="30"/>
    </row>
    <row r="25" spans="1:17" ht="29.5" customHeight="1">
      <c r="A25" s="32"/>
      <c r="B25" s="56" t="str">
        <f>"0221897299661"</f>
        <v>0221897299661</v>
      </c>
      <c r="C25" s="33" t="s">
        <v>1378</v>
      </c>
      <c r="D25" s="34" t="s">
        <v>625</v>
      </c>
      <c r="E25" s="34" t="s">
        <v>506</v>
      </c>
      <c r="F25" s="32" t="s">
        <v>497</v>
      </c>
      <c r="G25" s="32" t="s">
        <v>6</v>
      </c>
      <c r="H25" s="40">
        <v>3.99</v>
      </c>
      <c r="I25" s="32"/>
      <c r="J25" s="35">
        <f>VLOOKUP(B25,'[1]remainderlist'!$B$1:$I$1139,8,FALSE)</f>
        <v>21</v>
      </c>
      <c r="K25" s="33" t="s">
        <v>626</v>
      </c>
      <c r="L25" s="32">
        <v>54</v>
      </c>
      <c r="M25" s="32" t="str">
        <f>"9781897299661"</f>
        <v>9781897299661</v>
      </c>
      <c r="N25" s="36">
        <v>16.95</v>
      </c>
      <c r="O25" s="20" t="s">
        <v>506</v>
      </c>
      <c r="P25" s="19"/>
      <c r="Q25" s="19"/>
    </row>
    <row r="26" spans="1:17" ht="29.5" customHeight="1">
      <c r="A26" s="32"/>
      <c r="B26" s="56" t="str">
        <f>"0221896597980"</f>
        <v>0221896597980</v>
      </c>
      <c r="C26" s="33" t="s">
        <v>1378</v>
      </c>
      <c r="D26" s="34" t="s">
        <v>627</v>
      </c>
      <c r="E26" s="34" t="s">
        <v>506</v>
      </c>
      <c r="F26" s="32" t="s">
        <v>495</v>
      </c>
      <c r="G26" s="32" t="s">
        <v>6</v>
      </c>
      <c r="H26" s="40">
        <v>3.99</v>
      </c>
      <c r="I26" s="32"/>
      <c r="J26" s="35">
        <f>VLOOKUP(B26,'[1]remainderlist'!$B$1:$I$1139,8,FALSE)</f>
        <v>27</v>
      </c>
      <c r="K26" s="33" t="s">
        <v>628</v>
      </c>
      <c r="L26" s="32">
        <v>50</v>
      </c>
      <c r="M26" s="32" t="str">
        <f>"9781896597980"</f>
        <v>9781896597980</v>
      </c>
      <c r="N26" s="36">
        <v>19.95</v>
      </c>
      <c r="O26" s="20" t="s">
        <v>506</v>
      </c>
      <c r="P26" s="19"/>
      <c r="Q26" s="19"/>
    </row>
    <row r="27" spans="1:17" ht="29.5" customHeight="1">
      <c r="A27" s="32"/>
      <c r="B27" s="56" t="str">
        <f>"0221897299388"</f>
        <v>0221897299388</v>
      </c>
      <c r="C27" s="33" t="s">
        <v>1378</v>
      </c>
      <c r="D27" s="34" t="s">
        <v>629</v>
      </c>
      <c r="E27" s="34" t="s">
        <v>506</v>
      </c>
      <c r="F27" s="32" t="s">
        <v>496</v>
      </c>
      <c r="G27" s="32" t="s">
        <v>6</v>
      </c>
      <c r="H27" s="40">
        <v>2.99</v>
      </c>
      <c r="I27" s="32"/>
      <c r="J27" s="35">
        <f>VLOOKUP(B27,'[1]remainderlist'!$B$1:$I$1139,8,FALSE)</f>
        <v>41</v>
      </c>
      <c r="K27" s="33" t="s">
        <v>626</v>
      </c>
      <c r="L27" s="32">
        <v>82</v>
      </c>
      <c r="M27" s="32" t="str">
        <f>"9781897299388"</f>
        <v>9781897299388</v>
      </c>
      <c r="N27" s="36">
        <v>14.95</v>
      </c>
      <c r="O27" s="20" t="s">
        <v>506</v>
      </c>
      <c r="P27" s="19"/>
      <c r="Q27" s="19"/>
    </row>
    <row r="28" spans="1:17" s="10" customFormat="1" ht="15">
      <c r="A28" s="43"/>
      <c r="B28" s="52" t="s">
        <v>1355</v>
      </c>
      <c r="C28" s="6"/>
      <c r="D28" s="6"/>
      <c r="E28" s="6"/>
      <c r="F28" s="7"/>
      <c r="G28" s="7"/>
      <c r="H28" s="44"/>
      <c r="I28" s="8"/>
      <c r="J28" s="7"/>
      <c r="K28" s="6"/>
      <c r="L28" s="7"/>
      <c r="M28" s="9"/>
      <c r="N28" s="25"/>
      <c r="O28" s="11"/>
      <c r="P28" s="30"/>
      <c r="Q28" s="30"/>
    </row>
    <row r="29" spans="1:17" ht="29.5" customHeight="1">
      <c r="A29" s="32"/>
      <c r="B29" s="56" t="str">
        <f>"0221402272141"</f>
        <v>0221402272141</v>
      </c>
      <c r="C29" s="33" t="s">
        <v>511</v>
      </c>
      <c r="D29" s="34" t="s">
        <v>617</v>
      </c>
      <c r="E29" s="34" t="s">
        <v>618</v>
      </c>
      <c r="F29" s="32" t="s">
        <v>486</v>
      </c>
      <c r="G29" s="32" t="s">
        <v>8</v>
      </c>
      <c r="H29" s="40">
        <v>8.99</v>
      </c>
      <c r="I29" s="32"/>
      <c r="J29" s="35">
        <f>VLOOKUP(B29,'[1]remainderlist'!$B$1:$I$1139,8,FALSE)</f>
        <v>145</v>
      </c>
      <c r="K29" s="33" t="s">
        <v>576</v>
      </c>
      <c r="L29" s="32">
        <v>10</v>
      </c>
      <c r="M29" s="32" t="str">
        <f>"9781402272141"</f>
        <v>9781402272141</v>
      </c>
      <c r="N29" s="36">
        <v>49.99</v>
      </c>
      <c r="O29" s="20" t="s">
        <v>506</v>
      </c>
      <c r="P29" s="19"/>
      <c r="Q29" s="19"/>
    </row>
    <row r="30" spans="1:17" ht="29.5" customHeight="1">
      <c r="A30" s="32"/>
      <c r="B30" s="56" t="str">
        <f>"0221402260841"</f>
        <v>0221402260841</v>
      </c>
      <c r="C30" s="33" t="s">
        <v>511</v>
      </c>
      <c r="D30" s="34" t="s">
        <v>565</v>
      </c>
      <c r="E30" s="34" t="s">
        <v>566</v>
      </c>
      <c r="F30" s="32" t="s">
        <v>475</v>
      </c>
      <c r="G30" s="32" t="s">
        <v>26</v>
      </c>
      <c r="H30" s="40">
        <v>3.99</v>
      </c>
      <c r="I30" s="32"/>
      <c r="J30" s="35">
        <f>VLOOKUP(B30,'[1]remainderlist'!$B$1:$I$1139,8,FALSE)</f>
        <v>508</v>
      </c>
      <c r="K30" s="33" t="s">
        <v>521</v>
      </c>
      <c r="L30" s="32">
        <v>36</v>
      </c>
      <c r="M30" s="32" t="str">
        <f>"9781402260841"</f>
        <v>9781402260841</v>
      </c>
      <c r="N30" s="36">
        <v>20.99</v>
      </c>
      <c r="O30" s="20" t="s">
        <v>506</v>
      </c>
      <c r="P30" s="19"/>
      <c r="Q30" s="19"/>
    </row>
    <row r="31" spans="1:17" ht="29.5" customHeight="1">
      <c r="A31" s="32"/>
      <c r="B31" s="56" t="str">
        <f>"0201452127998"</f>
        <v>0201452127998</v>
      </c>
      <c r="C31" s="33" t="s">
        <v>1377</v>
      </c>
      <c r="D31" s="34" t="s">
        <v>711</v>
      </c>
      <c r="E31" s="34" t="s">
        <v>506</v>
      </c>
      <c r="F31" s="32" t="s">
        <v>266</v>
      </c>
      <c r="G31" s="32" t="s">
        <v>8</v>
      </c>
      <c r="H31" s="40">
        <v>9.99</v>
      </c>
      <c r="I31" s="32"/>
      <c r="J31" s="35">
        <f>VLOOKUP(B31,'[1]remainderlist'!$B$1:$I$1139,8,FALSE)</f>
        <v>160</v>
      </c>
      <c r="K31" s="33" t="s">
        <v>509</v>
      </c>
      <c r="L31" s="32">
        <v>10</v>
      </c>
      <c r="M31" s="32" t="str">
        <f>"9781452127996"</f>
        <v>9781452127996</v>
      </c>
      <c r="N31" s="36">
        <v>56</v>
      </c>
      <c r="O31" s="20" t="s">
        <v>506</v>
      </c>
      <c r="P31" s="19"/>
      <c r="Q31" s="19"/>
    </row>
    <row r="32" spans="1:17" ht="29.5" customHeight="1">
      <c r="A32" s="32"/>
      <c r="B32" s="56" t="str">
        <f>"0201452135184"</f>
        <v>0201452135184</v>
      </c>
      <c r="C32" s="33" t="s">
        <v>1377</v>
      </c>
      <c r="D32" s="34" t="s">
        <v>919</v>
      </c>
      <c r="E32" s="34" t="s">
        <v>506</v>
      </c>
      <c r="F32" s="32" t="s">
        <v>282</v>
      </c>
      <c r="G32" s="32" t="s">
        <v>8</v>
      </c>
      <c r="H32" s="40">
        <v>9.99</v>
      </c>
      <c r="I32" s="32"/>
      <c r="J32" s="35">
        <f>VLOOKUP(B32,'[1]remainderlist'!$B$1:$I$1139,8,FALSE)</f>
        <v>342</v>
      </c>
      <c r="K32" s="33" t="s">
        <v>807</v>
      </c>
      <c r="L32" s="32">
        <v>10</v>
      </c>
      <c r="M32" s="32" t="str">
        <f>"9781452135182"</f>
        <v>9781452135182</v>
      </c>
      <c r="N32" s="36">
        <v>56</v>
      </c>
      <c r="O32" s="20" t="s">
        <v>506</v>
      </c>
      <c r="P32" s="19"/>
      <c r="Q32" s="19"/>
    </row>
    <row r="33" spans="1:17" ht="29.5" customHeight="1">
      <c r="A33" s="32"/>
      <c r="B33" s="56" t="str">
        <f>"0201452117166"</f>
        <v>0201452117166</v>
      </c>
      <c r="C33" s="33" t="s">
        <v>1377</v>
      </c>
      <c r="D33" s="34" t="s">
        <v>815</v>
      </c>
      <c r="E33" s="34" t="s">
        <v>506</v>
      </c>
      <c r="F33" s="32" t="s">
        <v>244</v>
      </c>
      <c r="G33" s="32" t="s">
        <v>8</v>
      </c>
      <c r="H33" s="40">
        <v>9.99</v>
      </c>
      <c r="I33" s="32"/>
      <c r="J33" s="35">
        <f>VLOOKUP(B33,'[1]remainderlist'!$B$1:$I$1139,8,FALSE)</f>
        <v>249</v>
      </c>
      <c r="K33" s="33" t="s">
        <v>647</v>
      </c>
      <c r="L33" s="32">
        <v>12</v>
      </c>
      <c r="M33" s="32" t="str">
        <f>"9781452117164"</f>
        <v>9781452117164</v>
      </c>
      <c r="N33" s="36">
        <v>56</v>
      </c>
      <c r="O33" s="20" t="s">
        <v>506</v>
      </c>
      <c r="P33" s="19"/>
      <c r="Q33" s="19"/>
    </row>
    <row r="34" spans="1:17" s="10" customFormat="1" ht="15">
      <c r="A34" s="43"/>
      <c r="B34" s="52" t="s">
        <v>1356</v>
      </c>
      <c r="C34" s="6"/>
      <c r="D34" s="6"/>
      <c r="E34" s="6"/>
      <c r="F34" s="7"/>
      <c r="G34" s="7"/>
      <c r="H34" s="44"/>
      <c r="I34" s="8"/>
      <c r="J34" s="7"/>
      <c r="K34" s="6"/>
      <c r="L34" s="7"/>
      <c r="M34" s="9"/>
      <c r="N34" s="25"/>
      <c r="O34" s="11"/>
      <c r="P34" s="30"/>
      <c r="Q34" s="30"/>
    </row>
    <row r="35" spans="1:17" ht="29.5" customHeight="1">
      <c r="A35" s="32"/>
      <c r="B35" s="56" t="str">
        <f>"0201452139892"</f>
        <v>0201452139892</v>
      </c>
      <c r="C35" s="33" t="s">
        <v>1377</v>
      </c>
      <c r="D35" s="34" t="s">
        <v>1162</v>
      </c>
      <c r="E35" s="34" t="s">
        <v>1163</v>
      </c>
      <c r="F35" s="32" t="s">
        <v>292</v>
      </c>
      <c r="G35" s="32" t="s">
        <v>8</v>
      </c>
      <c r="H35" s="40">
        <v>7.99</v>
      </c>
      <c r="I35" s="32"/>
      <c r="J35" s="35">
        <f>VLOOKUP(B35,'[1]remainderlist'!$B$1:$I$1139,8,FALSE)</f>
        <v>56</v>
      </c>
      <c r="K35" s="33" t="s">
        <v>905</v>
      </c>
      <c r="L35" s="32">
        <v>12</v>
      </c>
      <c r="M35" s="32" t="str">
        <f>"9781452139890"</f>
        <v>9781452139890</v>
      </c>
      <c r="N35" s="36">
        <v>41.95</v>
      </c>
      <c r="O35" s="20" t="s">
        <v>506</v>
      </c>
      <c r="P35" s="19"/>
      <c r="Q35" s="19"/>
    </row>
    <row r="36" spans="1:17" ht="29.5" customHeight="1">
      <c r="A36" s="32"/>
      <c r="B36" s="56" t="str">
        <f>"0201742709958"</f>
        <v>0201742709958</v>
      </c>
      <c r="C36" s="33" t="s">
        <v>1345</v>
      </c>
      <c r="D36" s="34" t="s">
        <v>1208</v>
      </c>
      <c r="E36" s="34" t="s">
        <v>506</v>
      </c>
      <c r="F36" s="32" t="s">
        <v>351</v>
      </c>
      <c r="G36" s="32" t="s">
        <v>8</v>
      </c>
      <c r="H36" s="40">
        <v>4.99</v>
      </c>
      <c r="I36" s="32"/>
      <c r="J36" s="35">
        <f>VLOOKUP(B36,'[1]remainderlist'!$B$1:$I$1139,8,FALSE)</f>
        <v>90</v>
      </c>
      <c r="K36" s="33" t="s">
        <v>868</v>
      </c>
      <c r="L36" s="32">
        <v>30</v>
      </c>
      <c r="M36" s="32" t="str">
        <f>"9781742709956"</f>
        <v>9781742709956</v>
      </c>
      <c r="N36" s="36">
        <v>20.95</v>
      </c>
      <c r="O36" s="20" t="s">
        <v>506</v>
      </c>
      <c r="P36" s="19"/>
      <c r="Q36" s="19"/>
    </row>
    <row r="37" spans="1:17" ht="29.5" customHeight="1">
      <c r="A37" s="32"/>
      <c r="B37" s="56" t="str">
        <f>"0201452114066"</f>
        <v>0201452114066</v>
      </c>
      <c r="C37" s="33" t="s">
        <v>1377</v>
      </c>
      <c r="D37" s="34" t="s">
        <v>683</v>
      </c>
      <c r="E37" s="34" t="s">
        <v>684</v>
      </c>
      <c r="F37" s="32" t="s">
        <v>242</v>
      </c>
      <c r="G37" s="32" t="s">
        <v>8</v>
      </c>
      <c r="H37" s="40">
        <v>5.99</v>
      </c>
      <c r="I37" s="32"/>
      <c r="J37" s="35">
        <f>VLOOKUP(B37,'[1]remainderlist'!$B$1:$I$1139,8,FALSE)</f>
        <v>129</v>
      </c>
      <c r="K37" s="33" t="s">
        <v>643</v>
      </c>
      <c r="L37" s="32">
        <v>28</v>
      </c>
      <c r="M37" s="32" t="str">
        <f>"9781452114064"</f>
        <v>9781452114064</v>
      </c>
      <c r="N37" s="36">
        <v>27.95</v>
      </c>
      <c r="O37" s="20" t="s">
        <v>506</v>
      </c>
      <c r="P37" s="19"/>
      <c r="Q37" s="19"/>
    </row>
    <row r="38" spans="1:17" ht="29.5" customHeight="1">
      <c r="A38" s="32"/>
      <c r="B38" s="56" t="str">
        <f>"0201452149556"</f>
        <v>0201452149556</v>
      </c>
      <c r="C38" s="33" t="s">
        <v>1377</v>
      </c>
      <c r="D38" s="34" t="s">
        <v>918</v>
      </c>
      <c r="E38" s="34" t="s">
        <v>506</v>
      </c>
      <c r="F38" s="32" t="s">
        <v>314</v>
      </c>
      <c r="G38" s="32" t="s">
        <v>6</v>
      </c>
      <c r="H38" s="40">
        <v>11.99</v>
      </c>
      <c r="I38" s="32"/>
      <c r="J38" s="35">
        <f>VLOOKUP(B38,'[1]remainderlist'!$B$1:$I$1139,8,FALSE)</f>
        <v>255</v>
      </c>
      <c r="K38" s="33" t="s">
        <v>868</v>
      </c>
      <c r="L38" s="32">
        <v>5</v>
      </c>
      <c r="M38" s="32" t="str">
        <f>"9781452149554"</f>
        <v>9781452149554</v>
      </c>
      <c r="N38" s="36">
        <v>70</v>
      </c>
      <c r="O38" s="20" t="s">
        <v>506</v>
      </c>
      <c r="P38" s="19"/>
      <c r="Q38" s="19"/>
    </row>
    <row r="39" spans="1:17" ht="29.5" customHeight="1">
      <c r="A39" s="32"/>
      <c r="B39" s="56" t="str">
        <f>"0201616895237"</f>
        <v>0201616895237</v>
      </c>
      <c r="C39" s="33" t="s">
        <v>1380</v>
      </c>
      <c r="D39" s="34" t="s">
        <v>1311</v>
      </c>
      <c r="E39" s="34" t="s">
        <v>1312</v>
      </c>
      <c r="F39" s="32" t="s">
        <v>343</v>
      </c>
      <c r="G39" s="32" t="s">
        <v>8</v>
      </c>
      <c r="H39" s="40">
        <v>16</v>
      </c>
      <c r="I39" s="37" t="s">
        <v>501</v>
      </c>
      <c r="J39" s="35">
        <f>VLOOKUP(B39,'[1]remainderlist'!$B$1:$I$1139,8,FALSE)</f>
        <v>50</v>
      </c>
      <c r="K39" s="33" t="s">
        <v>986</v>
      </c>
      <c r="L39" s="32">
        <v>10</v>
      </c>
      <c r="M39" s="32" t="str">
        <f>"9781616895235"</f>
        <v>9781616895235</v>
      </c>
      <c r="N39" s="36">
        <v>64</v>
      </c>
      <c r="O39" s="20" t="s">
        <v>506</v>
      </c>
      <c r="P39" s="19"/>
      <c r="Q39" s="19"/>
    </row>
    <row r="40" spans="1:17" ht="29.5" customHeight="1">
      <c r="A40" s="32"/>
      <c r="B40" s="56" t="str">
        <f>"0201743607581"</f>
        <v>0201743607581</v>
      </c>
      <c r="C40" s="33" t="s">
        <v>1342</v>
      </c>
      <c r="D40" s="34" t="s">
        <v>960</v>
      </c>
      <c r="E40" s="34" t="s">
        <v>506</v>
      </c>
      <c r="F40" s="32"/>
      <c r="G40" s="32" t="s">
        <v>6</v>
      </c>
      <c r="H40" s="40">
        <v>2.99</v>
      </c>
      <c r="I40" s="32"/>
      <c r="J40" s="35">
        <f>VLOOKUP(B40,'[1]remainderlist'!$B$1:$I$1139,8,FALSE)</f>
        <v>479</v>
      </c>
      <c r="K40" s="33" t="s">
        <v>807</v>
      </c>
      <c r="L40" s="32">
        <v>80</v>
      </c>
      <c r="M40" s="32" t="str">
        <f>"9781743607589"</f>
        <v>9781743607589</v>
      </c>
      <c r="N40" s="36">
        <v>13.99</v>
      </c>
      <c r="O40" s="20" t="s">
        <v>506</v>
      </c>
      <c r="P40" s="19"/>
      <c r="Q40" s="19"/>
    </row>
    <row r="41" spans="1:17" s="10" customFormat="1" ht="15">
      <c r="A41" s="43"/>
      <c r="B41" s="52" t="s">
        <v>1357</v>
      </c>
      <c r="C41" s="6"/>
      <c r="D41" s="6"/>
      <c r="E41" s="6"/>
      <c r="F41" s="7"/>
      <c r="G41" s="7"/>
      <c r="H41" s="44"/>
      <c r="I41" s="8"/>
      <c r="J41" s="7"/>
      <c r="K41" s="6"/>
      <c r="L41" s="7"/>
      <c r="M41" s="9"/>
      <c r="N41" s="25"/>
      <c r="O41" s="11"/>
      <c r="P41" s="30"/>
      <c r="Q41" s="30"/>
    </row>
    <row r="42" spans="1:17" ht="29.5" customHeight="1">
      <c r="A42" s="32"/>
      <c r="B42" s="56" t="str">
        <f>"0201743792737"</f>
        <v>0201743792737</v>
      </c>
      <c r="C42" s="33" t="s">
        <v>1345</v>
      </c>
      <c r="D42" s="34" t="s">
        <v>1273</v>
      </c>
      <c r="E42" s="34" t="s">
        <v>1274</v>
      </c>
      <c r="F42" s="32" t="s">
        <v>366</v>
      </c>
      <c r="G42" s="32" t="s">
        <v>8</v>
      </c>
      <c r="H42" s="40">
        <v>7</v>
      </c>
      <c r="I42" s="37" t="s">
        <v>501</v>
      </c>
      <c r="J42" s="35">
        <f>VLOOKUP(B42,'[1]remainderlist'!$B$1:$I$1139,8,FALSE)</f>
        <v>100</v>
      </c>
      <c r="K42" s="33" t="s">
        <v>1221</v>
      </c>
      <c r="L42" s="32">
        <v>20</v>
      </c>
      <c r="M42" s="32" t="str">
        <f>"9781743792735"</f>
        <v>9781743792735</v>
      </c>
      <c r="N42" s="36">
        <v>27.99</v>
      </c>
      <c r="O42" s="20" t="s">
        <v>506</v>
      </c>
      <c r="P42" s="19"/>
      <c r="Q42" s="19"/>
    </row>
    <row r="43" spans="1:17" ht="29.5" customHeight="1">
      <c r="A43" s="32"/>
      <c r="B43" s="56" t="str">
        <f>"0201452132695"</f>
        <v>0201452132695</v>
      </c>
      <c r="C43" s="33" t="s">
        <v>1377</v>
      </c>
      <c r="D43" s="34" t="s">
        <v>681</v>
      </c>
      <c r="E43" s="34" t="s">
        <v>682</v>
      </c>
      <c r="F43" s="32" t="s">
        <v>275</v>
      </c>
      <c r="G43" s="32" t="s">
        <v>6</v>
      </c>
      <c r="H43" s="40">
        <v>4.99</v>
      </c>
      <c r="I43" s="32"/>
      <c r="J43" s="35">
        <f>VLOOKUP(B43,'[1]remainderlist'!$B$1:$I$1139,8,FALSE)</f>
        <v>100</v>
      </c>
      <c r="K43" s="33" t="s">
        <v>643</v>
      </c>
      <c r="L43" s="32">
        <v>52</v>
      </c>
      <c r="M43" s="32" t="str">
        <f>"9781452132693"</f>
        <v>9781452132693</v>
      </c>
      <c r="N43" s="36">
        <v>23.95</v>
      </c>
      <c r="O43" s="20" t="s">
        <v>506</v>
      </c>
      <c r="P43" s="19"/>
      <c r="Q43" s="19"/>
    </row>
    <row r="44" spans="1:17" ht="29.5" customHeight="1">
      <c r="A44" s="32"/>
      <c r="B44" s="56" t="str">
        <f>"0201780675574"</f>
        <v>0201780675574</v>
      </c>
      <c r="C44" s="33" t="s">
        <v>1343</v>
      </c>
      <c r="D44" s="34" t="s">
        <v>1017</v>
      </c>
      <c r="E44" s="34" t="s">
        <v>1018</v>
      </c>
      <c r="F44" s="32" t="s">
        <v>379</v>
      </c>
      <c r="G44" s="32" t="s">
        <v>8</v>
      </c>
      <c r="H44" s="40">
        <v>11.99</v>
      </c>
      <c r="I44" s="32"/>
      <c r="J44" s="35">
        <f>VLOOKUP(B44,'[1]remainderlist'!$B$1:$I$1139,8,FALSE)</f>
        <v>80</v>
      </c>
      <c r="K44" s="33" t="s">
        <v>807</v>
      </c>
      <c r="L44" s="32">
        <v>10</v>
      </c>
      <c r="M44" s="32" t="str">
        <f>"9781780675572"</f>
        <v>9781780675572</v>
      </c>
      <c r="N44" s="36">
        <v>56</v>
      </c>
      <c r="O44" s="20" t="s">
        <v>506</v>
      </c>
      <c r="P44" s="19"/>
      <c r="Q44" s="19"/>
    </row>
    <row r="45" spans="1:17" ht="29.5" customHeight="1">
      <c r="A45" s="32"/>
      <c r="B45" s="56" t="str">
        <f>"0201423637358"</f>
        <v>0201423637358</v>
      </c>
      <c r="C45" s="33" t="s">
        <v>766</v>
      </c>
      <c r="D45" s="34" t="s">
        <v>1140</v>
      </c>
      <c r="E45" s="34" t="s">
        <v>1141</v>
      </c>
      <c r="F45" s="32" t="s">
        <v>206</v>
      </c>
      <c r="G45" s="32" t="s">
        <v>8</v>
      </c>
      <c r="H45" s="40">
        <v>11.99</v>
      </c>
      <c r="I45" s="32"/>
      <c r="J45" s="35">
        <f>VLOOKUP(B45,'[1]remainderlist'!$B$1:$I$1139,8,FALSE)</f>
        <v>144</v>
      </c>
      <c r="K45" s="33" t="s">
        <v>868</v>
      </c>
      <c r="L45" s="32">
        <v>8</v>
      </c>
      <c r="M45" s="32" t="str">
        <f>"9781423637356"</f>
        <v>9781423637356</v>
      </c>
      <c r="N45" s="36">
        <v>64</v>
      </c>
      <c r="O45" s="20" t="s">
        <v>506</v>
      </c>
      <c r="P45" s="19"/>
      <c r="Q45" s="19"/>
    </row>
    <row r="46" spans="1:17" ht="29.5" customHeight="1">
      <c r="A46" s="32"/>
      <c r="B46" s="56" t="str">
        <f>"0201616892762"</f>
        <v>0201616892762</v>
      </c>
      <c r="C46" s="33" t="s">
        <v>1380</v>
      </c>
      <c r="D46" s="34" t="s">
        <v>1322</v>
      </c>
      <c r="E46" s="34" t="s">
        <v>506</v>
      </c>
      <c r="F46" s="32" t="s">
        <v>332</v>
      </c>
      <c r="G46" s="32" t="s">
        <v>8</v>
      </c>
      <c r="H46" s="40">
        <v>8.99</v>
      </c>
      <c r="I46" s="37" t="s">
        <v>501</v>
      </c>
      <c r="J46" s="35">
        <f>VLOOKUP(B46,'[1]remainderlist'!$B$1:$I$1139,8,FALSE)</f>
        <v>88</v>
      </c>
      <c r="K46" s="33" t="s">
        <v>509</v>
      </c>
      <c r="L46" s="32">
        <v>22</v>
      </c>
      <c r="M46" s="32" t="str">
        <f>"9781616892760"</f>
        <v>9781616892760</v>
      </c>
      <c r="N46" s="36">
        <v>35.95</v>
      </c>
      <c r="O46" s="20" t="s">
        <v>506</v>
      </c>
      <c r="P46" s="19"/>
      <c r="Q46" s="19"/>
    </row>
    <row r="47" spans="1:17" ht="29.5" customHeight="1">
      <c r="A47" s="32"/>
      <c r="B47" s="56" t="str">
        <f>"0201784881018"</f>
        <v>0201784881018</v>
      </c>
      <c r="C47" s="33" t="s">
        <v>1345</v>
      </c>
      <c r="D47" s="34" t="s">
        <v>1302</v>
      </c>
      <c r="E47" s="34" t="s">
        <v>1303</v>
      </c>
      <c r="F47" s="32" t="s">
        <v>401</v>
      </c>
      <c r="G47" s="32" t="s">
        <v>8</v>
      </c>
      <c r="H47" s="40">
        <v>3.5</v>
      </c>
      <c r="I47" s="37" t="s">
        <v>501</v>
      </c>
      <c r="J47" s="35">
        <f>VLOOKUP(B47,'[1]remainderlist'!$B$1:$I$1139,8,FALSE)</f>
        <v>880</v>
      </c>
      <c r="K47" s="33" t="s">
        <v>1221</v>
      </c>
      <c r="L47" s="32">
        <v>80</v>
      </c>
      <c r="M47" s="32" t="str">
        <f>"9781784881016"</f>
        <v>9781784881016</v>
      </c>
      <c r="N47" s="36">
        <v>13.99</v>
      </c>
      <c r="O47" s="20" t="s">
        <v>506</v>
      </c>
      <c r="P47" s="19"/>
      <c r="Q47" s="19"/>
    </row>
    <row r="48" spans="1:17" ht="29.5" customHeight="1">
      <c r="A48" s="32"/>
      <c r="B48" s="56" t="str">
        <f>"0201452158343"</f>
        <v>0201452158343</v>
      </c>
      <c r="C48" s="33" t="s">
        <v>1377</v>
      </c>
      <c r="D48" s="34" t="s">
        <v>1164</v>
      </c>
      <c r="E48" s="34" t="s">
        <v>1165</v>
      </c>
      <c r="F48" s="32" t="s">
        <v>327</v>
      </c>
      <c r="G48" s="32" t="s">
        <v>6</v>
      </c>
      <c r="H48" s="40">
        <v>5.99</v>
      </c>
      <c r="I48" s="32"/>
      <c r="J48" s="35">
        <f>VLOOKUP(B48,'[1]remainderlist'!$B$1:$I$1139,8,FALSE)</f>
        <v>60</v>
      </c>
      <c r="K48" s="33" t="s">
        <v>986</v>
      </c>
      <c r="L48" s="32">
        <v>20</v>
      </c>
      <c r="M48" s="32" t="str">
        <f>"9781452158341"</f>
        <v>9781452158341</v>
      </c>
      <c r="N48" s="36">
        <v>27.95</v>
      </c>
      <c r="O48" s="20" t="s">
        <v>506</v>
      </c>
      <c r="P48" s="19"/>
      <c r="Q48" s="19"/>
    </row>
    <row r="49" spans="1:17" ht="29.5" customHeight="1">
      <c r="A49" s="32"/>
      <c r="B49" s="56" t="str">
        <f>"0201784880530"</f>
        <v>0201784880530</v>
      </c>
      <c r="C49" s="33" t="s">
        <v>1345</v>
      </c>
      <c r="D49" s="34" t="s">
        <v>1211</v>
      </c>
      <c r="E49" s="34" t="s">
        <v>1212</v>
      </c>
      <c r="F49" s="32" t="s">
        <v>393</v>
      </c>
      <c r="G49" s="32" t="s">
        <v>8</v>
      </c>
      <c r="H49" s="40">
        <v>4.99</v>
      </c>
      <c r="I49" s="32"/>
      <c r="J49" s="35">
        <f>VLOOKUP(B49,'[1]remainderlist'!$B$1:$I$1139,8,FALSE)</f>
        <v>108</v>
      </c>
      <c r="K49" s="33" t="s">
        <v>986</v>
      </c>
      <c r="L49" s="32">
        <v>36</v>
      </c>
      <c r="M49" s="32" t="str">
        <f>"9781784880538"</f>
        <v>9781784880538</v>
      </c>
      <c r="N49" s="36">
        <v>20.99</v>
      </c>
      <c r="O49" s="20" t="s">
        <v>506</v>
      </c>
      <c r="P49" s="19"/>
      <c r="Q49" s="19"/>
    </row>
    <row r="50" spans="1:17" ht="29.5" customHeight="1">
      <c r="A50" s="32"/>
      <c r="B50" s="56" t="str">
        <f>"0201784880820"</f>
        <v>0201784880820</v>
      </c>
      <c r="C50" s="33" t="s">
        <v>1345</v>
      </c>
      <c r="D50" s="34" t="s">
        <v>1279</v>
      </c>
      <c r="E50" s="34" t="s">
        <v>1280</v>
      </c>
      <c r="F50" s="32" t="s">
        <v>397</v>
      </c>
      <c r="G50" s="32" t="s">
        <v>8</v>
      </c>
      <c r="H50" s="40">
        <v>5.25</v>
      </c>
      <c r="I50" s="37" t="s">
        <v>501</v>
      </c>
      <c r="J50" s="35">
        <f>VLOOKUP(B50,'[1]remainderlist'!$B$1:$I$1139,8,FALSE)</f>
        <v>144</v>
      </c>
      <c r="K50" s="33" t="s">
        <v>1221</v>
      </c>
      <c r="L50" s="32">
        <v>36</v>
      </c>
      <c r="M50" s="32" t="str">
        <f>"9781784880828"</f>
        <v>9781784880828</v>
      </c>
      <c r="N50" s="36">
        <v>20.99</v>
      </c>
      <c r="O50" s="20" t="s">
        <v>506</v>
      </c>
      <c r="P50" s="19"/>
      <c r="Q50" s="19"/>
    </row>
    <row r="51" spans="1:17" s="10" customFormat="1" ht="15">
      <c r="A51" s="45"/>
      <c r="B51" s="57" t="s">
        <v>1358</v>
      </c>
      <c r="C51" s="46"/>
      <c r="D51" s="46"/>
      <c r="E51" s="46"/>
      <c r="F51" s="47"/>
      <c r="G51" s="47"/>
      <c r="H51" s="48"/>
      <c r="I51" s="49"/>
      <c r="J51" s="47"/>
      <c r="K51" s="46"/>
      <c r="L51" s="47"/>
      <c r="M51" s="50"/>
      <c r="N51" s="51"/>
      <c r="O51" s="11"/>
      <c r="P51" s="30"/>
      <c r="Q51" s="30"/>
    </row>
    <row r="52" spans="1:17" ht="29.5" customHeight="1">
      <c r="A52" s="32"/>
      <c r="B52" s="56" t="str">
        <f>"0201423646572"</f>
        <v>0201423646572</v>
      </c>
      <c r="C52" s="33" t="s">
        <v>766</v>
      </c>
      <c r="D52" s="34" t="s">
        <v>1257</v>
      </c>
      <c r="E52" s="34" t="s">
        <v>1258</v>
      </c>
      <c r="F52" s="32" t="s">
        <v>215</v>
      </c>
      <c r="G52" s="32" t="s">
        <v>6</v>
      </c>
      <c r="H52" s="40">
        <v>7</v>
      </c>
      <c r="I52" s="37" t="s">
        <v>501</v>
      </c>
      <c r="J52" s="35">
        <f>VLOOKUP(B52,'[1]remainderlist'!$B$1:$I$1139,8,FALSE)</f>
        <v>440</v>
      </c>
      <c r="K52" s="33" t="s">
        <v>1221</v>
      </c>
      <c r="L52" s="32">
        <v>40</v>
      </c>
      <c r="M52" s="32" t="str">
        <f>"9781423646570"</f>
        <v>9781423646570</v>
      </c>
      <c r="N52" s="36">
        <v>27.99</v>
      </c>
      <c r="O52" s="20" t="s">
        <v>506</v>
      </c>
      <c r="P52" s="19"/>
      <c r="Q52" s="19"/>
    </row>
    <row r="53" spans="1:17" ht="29.5" customHeight="1">
      <c r="A53" s="32"/>
      <c r="B53" s="56" t="str">
        <f>"0201423646602"</f>
        <v>0201423646602</v>
      </c>
      <c r="C53" s="33" t="s">
        <v>766</v>
      </c>
      <c r="D53" s="34" t="s">
        <v>1259</v>
      </c>
      <c r="E53" s="34" t="s">
        <v>1243</v>
      </c>
      <c r="F53" s="32" t="s">
        <v>215</v>
      </c>
      <c r="G53" s="32" t="s">
        <v>6</v>
      </c>
      <c r="H53" s="40">
        <v>7</v>
      </c>
      <c r="I53" s="37" t="s">
        <v>501</v>
      </c>
      <c r="J53" s="35">
        <f>VLOOKUP(B53,'[1]remainderlist'!$B$1:$I$1139,8,FALSE)</f>
        <v>440</v>
      </c>
      <c r="K53" s="33" t="s">
        <v>1221</v>
      </c>
      <c r="L53" s="32">
        <v>40</v>
      </c>
      <c r="M53" s="32" t="str">
        <f>"9781423646600"</f>
        <v>9781423646600</v>
      </c>
      <c r="N53" s="36">
        <v>27.99</v>
      </c>
      <c r="O53" s="20" t="s">
        <v>506</v>
      </c>
      <c r="P53" s="19"/>
      <c r="Q53" s="19"/>
    </row>
    <row r="54" spans="1:17" ht="29.5" customHeight="1">
      <c r="A54" s="32"/>
      <c r="B54" s="56" t="str">
        <f>"0201784880660"</f>
        <v>0201784880660</v>
      </c>
      <c r="C54" s="33" t="s">
        <v>1345</v>
      </c>
      <c r="D54" s="34" t="s">
        <v>1213</v>
      </c>
      <c r="E54" s="34" t="s">
        <v>1214</v>
      </c>
      <c r="F54" s="32" t="s">
        <v>395</v>
      </c>
      <c r="G54" s="32" t="s">
        <v>6</v>
      </c>
      <c r="H54" s="40">
        <v>4.99</v>
      </c>
      <c r="I54" s="32"/>
      <c r="J54" s="35">
        <f>VLOOKUP(B54,'[1]remainderlist'!$B$1:$I$1139,8,FALSE)</f>
        <v>120</v>
      </c>
      <c r="K54" s="33" t="s">
        <v>986</v>
      </c>
      <c r="L54" s="32">
        <v>30</v>
      </c>
      <c r="M54" s="32" t="str">
        <f>"9781784880668"</f>
        <v>9781784880668</v>
      </c>
      <c r="N54" s="36">
        <v>20.99</v>
      </c>
      <c r="O54" s="20" t="s">
        <v>506</v>
      </c>
      <c r="P54" s="19"/>
      <c r="Q54" s="19"/>
    </row>
    <row r="55" spans="1:17" ht="29.5" customHeight="1">
      <c r="A55" s="32"/>
      <c r="B55" s="56" t="str">
        <f>"0201423647074"</f>
        <v>0201423647074</v>
      </c>
      <c r="C55" s="33" t="s">
        <v>766</v>
      </c>
      <c r="D55" s="34" t="s">
        <v>1260</v>
      </c>
      <c r="E55" s="34" t="s">
        <v>1261</v>
      </c>
      <c r="F55" s="32" t="s">
        <v>219</v>
      </c>
      <c r="G55" s="32" t="s">
        <v>6</v>
      </c>
      <c r="H55" s="40">
        <v>7</v>
      </c>
      <c r="I55" s="37" t="s">
        <v>501</v>
      </c>
      <c r="J55" s="35">
        <f>VLOOKUP(B55,'[1]remainderlist'!$B$1:$I$1139,8,FALSE)</f>
        <v>440</v>
      </c>
      <c r="K55" s="33" t="s">
        <v>1221</v>
      </c>
      <c r="L55" s="32">
        <v>40</v>
      </c>
      <c r="M55" s="32" t="str">
        <f>"9781423647072"</f>
        <v>9781423647072</v>
      </c>
      <c r="N55" s="36">
        <v>27.99</v>
      </c>
      <c r="O55" s="20" t="s">
        <v>506</v>
      </c>
      <c r="P55" s="19"/>
      <c r="Q55" s="19"/>
    </row>
    <row r="56" spans="1:17" ht="29.5" customHeight="1">
      <c r="A56" s="32"/>
      <c r="B56" s="56" t="str">
        <f>"0201452151504"</f>
        <v>0201452151504</v>
      </c>
      <c r="C56" s="33" t="s">
        <v>1377</v>
      </c>
      <c r="D56" s="34" t="s">
        <v>1174</v>
      </c>
      <c r="E56" s="34" t="s">
        <v>506</v>
      </c>
      <c r="F56" s="32" t="s">
        <v>319</v>
      </c>
      <c r="G56" s="32" t="s">
        <v>6</v>
      </c>
      <c r="H56" s="40">
        <v>3.99</v>
      </c>
      <c r="I56" s="32"/>
      <c r="J56" s="35">
        <f>VLOOKUP(B56,'[1]remainderlist'!$B$1:$I$1139,8,FALSE)</f>
        <v>98</v>
      </c>
      <c r="K56" s="33" t="s">
        <v>905</v>
      </c>
      <c r="L56" s="32">
        <v>30</v>
      </c>
      <c r="M56" s="32" t="str">
        <f>"9781452151502"</f>
        <v>9781452151502</v>
      </c>
      <c r="N56" s="36">
        <v>20.95</v>
      </c>
      <c r="O56" s="20" t="s">
        <v>506</v>
      </c>
      <c r="P56" s="19"/>
      <c r="Q56" s="19"/>
    </row>
    <row r="57" spans="1:17" ht="29.5" customHeight="1">
      <c r="A57" s="32"/>
      <c r="B57" s="56" t="str">
        <f>"0201452159784"</f>
        <v>0201452159784</v>
      </c>
      <c r="C57" s="33" t="s">
        <v>1377</v>
      </c>
      <c r="D57" s="34" t="s">
        <v>1194</v>
      </c>
      <c r="E57" s="34" t="s">
        <v>1195</v>
      </c>
      <c r="F57" s="32" t="s">
        <v>328</v>
      </c>
      <c r="G57" s="32" t="s">
        <v>6</v>
      </c>
      <c r="H57" s="40">
        <v>3.99</v>
      </c>
      <c r="I57" s="32"/>
      <c r="J57" s="35">
        <f>VLOOKUP(B57,'[1]remainderlist'!$B$1:$I$1139,8,FALSE)</f>
        <v>235</v>
      </c>
      <c r="K57" s="33" t="s">
        <v>986</v>
      </c>
      <c r="L57" s="32">
        <v>50</v>
      </c>
      <c r="M57" s="32" t="str">
        <f>"9781452159782"</f>
        <v>9781452159782</v>
      </c>
      <c r="N57" s="36">
        <v>18.5</v>
      </c>
      <c r="O57" s="20" t="s">
        <v>506</v>
      </c>
      <c r="P57" s="19"/>
      <c r="Q57" s="19"/>
    </row>
    <row r="58" spans="1:17" ht="29.5" customHeight="1">
      <c r="A58" s="32"/>
      <c r="B58" s="56" t="str">
        <f>"0201849498434"</f>
        <v>0201849498434</v>
      </c>
      <c r="C58" s="33" t="s">
        <v>1344</v>
      </c>
      <c r="D58" s="34" t="s">
        <v>1236</v>
      </c>
      <c r="E58" s="34" t="s">
        <v>506</v>
      </c>
      <c r="F58" s="32" t="s">
        <v>413</v>
      </c>
      <c r="G58" s="32" t="s">
        <v>6</v>
      </c>
      <c r="H58" s="40">
        <v>4.99</v>
      </c>
      <c r="I58" s="32"/>
      <c r="J58" s="35">
        <f>VLOOKUP(B58,'[1]remainderlist'!$B$1:$I$1139,8,FALSE)</f>
        <v>400</v>
      </c>
      <c r="K58" s="33" t="s">
        <v>986</v>
      </c>
      <c r="L58" s="32">
        <v>30</v>
      </c>
      <c r="M58" s="32" t="str">
        <f>"9781849498432"</f>
        <v>9781849498432</v>
      </c>
      <c r="N58" s="36">
        <v>20.95</v>
      </c>
      <c r="O58" s="20" t="s">
        <v>506</v>
      </c>
      <c r="P58" s="19"/>
      <c r="Q58" s="19"/>
    </row>
    <row r="59" spans="1:17" ht="29.5" customHeight="1">
      <c r="A59" s="32"/>
      <c r="B59" s="56" t="str">
        <f>"0200811870940"</f>
        <v>0200811870940</v>
      </c>
      <c r="C59" s="33" t="s">
        <v>1377</v>
      </c>
      <c r="D59" s="34" t="s">
        <v>1170</v>
      </c>
      <c r="E59" s="34" t="s">
        <v>506</v>
      </c>
      <c r="F59" s="32" t="s">
        <v>22</v>
      </c>
      <c r="G59" s="32" t="s">
        <v>21</v>
      </c>
      <c r="H59" s="40">
        <v>2.99</v>
      </c>
      <c r="I59" s="32"/>
      <c r="J59" s="35">
        <f>VLOOKUP(B59,'[1]remainderlist'!$B$1:$I$1139,8,FALSE)</f>
        <v>73</v>
      </c>
      <c r="K59" s="33" t="s">
        <v>604</v>
      </c>
      <c r="L59" s="32">
        <v>120</v>
      </c>
      <c r="M59" s="32" t="str">
        <f>"9780811870948"</f>
        <v>9780811870948</v>
      </c>
      <c r="N59" s="36">
        <v>13.95</v>
      </c>
      <c r="O59" s="20" t="s">
        <v>506</v>
      </c>
      <c r="P59" s="19"/>
      <c r="Q59" s="19"/>
    </row>
    <row r="60" spans="1:17" ht="29.5" customHeight="1">
      <c r="A60" s="32"/>
      <c r="B60" s="56" t="str">
        <f>"0200811876768"</f>
        <v>0200811876768</v>
      </c>
      <c r="C60" s="33" t="s">
        <v>1377</v>
      </c>
      <c r="D60" s="34" t="s">
        <v>1171</v>
      </c>
      <c r="E60" s="34" t="s">
        <v>506</v>
      </c>
      <c r="F60" s="32" t="s">
        <v>24</v>
      </c>
      <c r="G60" s="32" t="s">
        <v>11</v>
      </c>
      <c r="H60" s="40">
        <v>2.99</v>
      </c>
      <c r="I60" s="32"/>
      <c r="J60" s="35">
        <f>VLOOKUP(B60,'[1]remainderlist'!$B$1:$I$1139,8,FALSE)</f>
        <v>82</v>
      </c>
      <c r="K60" s="33" t="s">
        <v>515</v>
      </c>
      <c r="L60" s="32">
        <v>130</v>
      </c>
      <c r="M60" s="32" t="str">
        <f>"9780811876766"</f>
        <v>9780811876766</v>
      </c>
      <c r="N60" s="36">
        <v>13.95</v>
      </c>
      <c r="O60" s="20" t="s">
        <v>506</v>
      </c>
      <c r="P60" s="19"/>
      <c r="Q60" s="19"/>
    </row>
    <row r="61" spans="1:17" ht="29.5" customHeight="1">
      <c r="A61" s="32"/>
      <c r="B61" s="56" t="str">
        <f>"0201743791891"</f>
        <v>0201743791891</v>
      </c>
      <c r="C61" s="33" t="s">
        <v>1345</v>
      </c>
      <c r="D61" s="34" t="s">
        <v>1295</v>
      </c>
      <c r="E61" s="34" t="s">
        <v>1296</v>
      </c>
      <c r="F61" s="32" t="s">
        <v>363</v>
      </c>
      <c r="G61" s="32" t="s">
        <v>6</v>
      </c>
      <c r="H61" s="40">
        <v>6</v>
      </c>
      <c r="I61" s="37" t="s">
        <v>501</v>
      </c>
      <c r="J61" s="35">
        <f>VLOOKUP(B61,'[1]remainderlist'!$B$1:$I$1139,8,FALSE)</f>
        <v>360</v>
      </c>
      <c r="K61" s="33" t="s">
        <v>986</v>
      </c>
      <c r="L61" s="32">
        <v>30</v>
      </c>
      <c r="M61" s="32" t="str">
        <f>"9781743791899"</f>
        <v>9781743791899</v>
      </c>
      <c r="N61" s="36">
        <v>23.99</v>
      </c>
      <c r="O61" s="20" t="s">
        <v>506</v>
      </c>
      <c r="P61" s="19"/>
      <c r="Q61" s="19"/>
    </row>
    <row r="62" spans="1:17" ht="29.5" customHeight="1">
      <c r="A62" s="32"/>
      <c r="B62" s="56" t="str">
        <f>"0201743791884"</f>
        <v>0201743791884</v>
      </c>
      <c r="C62" s="33" t="s">
        <v>1345</v>
      </c>
      <c r="D62" s="34" t="s">
        <v>1237</v>
      </c>
      <c r="E62" s="34" t="s">
        <v>1238</v>
      </c>
      <c r="F62" s="32" t="s">
        <v>363</v>
      </c>
      <c r="G62" s="32" t="s">
        <v>6</v>
      </c>
      <c r="H62" s="40">
        <v>4.99</v>
      </c>
      <c r="I62" s="32"/>
      <c r="J62" s="35">
        <f>VLOOKUP(B62,'[1]remainderlist'!$B$1:$I$1139,8,FALSE)</f>
        <v>600</v>
      </c>
      <c r="K62" s="33" t="s">
        <v>986</v>
      </c>
      <c r="L62" s="32">
        <v>30</v>
      </c>
      <c r="M62" s="32" t="str">
        <f>"9781743791882"</f>
        <v>9781743791882</v>
      </c>
      <c r="N62" s="36">
        <v>23.99</v>
      </c>
      <c r="O62" s="20" t="s">
        <v>506</v>
      </c>
      <c r="P62" s="19"/>
      <c r="Q62" s="19"/>
    </row>
    <row r="63" spans="1:17" ht="29.5" customHeight="1">
      <c r="A63" s="32"/>
      <c r="B63" s="56" t="str">
        <f>"0201784880677"</f>
        <v>0201784880677</v>
      </c>
      <c r="C63" s="33" t="s">
        <v>1345</v>
      </c>
      <c r="D63" s="34" t="s">
        <v>1234</v>
      </c>
      <c r="E63" s="34" t="s">
        <v>1235</v>
      </c>
      <c r="F63" s="32" t="s">
        <v>396</v>
      </c>
      <c r="G63" s="32" t="s">
        <v>8</v>
      </c>
      <c r="H63" s="40">
        <v>4.99</v>
      </c>
      <c r="I63" s="32"/>
      <c r="J63" s="35">
        <f>VLOOKUP(B63,'[1]remainderlist'!$B$1:$I$1139,8,FALSE)</f>
        <v>270</v>
      </c>
      <c r="K63" s="33" t="s">
        <v>986</v>
      </c>
      <c r="L63" s="32">
        <v>30</v>
      </c>
      <c r="M63" s="32" t="str">
        <f>"9781784880675"</f>
        <v>9781784880675</v>
      </c>
      <c r="N63" s="36">
        <v>20.99</v>
      </c>
      <c r="O63" s="20" t="s">
        <v>506</v>
      </c>
      <c r="P63" s="19"/>
      <c r="Q63" s="19"/>
    </row>
    <row r="64" spans="1:17" s="10" customFormat="1" ht="15">
      <c r="A64" s="45"/>
      <c r="B64" s="52" t="s">
        <v>1359</v>
      </c>
      <c r="C64" s="6"/>
      <c r="D64" s="6"/>
      <c r="E64" s="6"/>
      <c r="F64" s="7"/>
      <c r="G64" s="7"/>
      <c r="H64" s="44"/>
      <c r="I64" s="8"/>
      <c r="J64" s="7"/>
      <c r="K64" s="6"/>
      <c r="L64" s="7"/>
      <c r="M64" s="9"/>
      <c r="N64" s="25"/>
      <c r="O64" s="11"/>
      <c r="P64" s="30"/>
      <c r="Q64" s="30"/>
    </row>
    <row r="65" spans="1:17" ht="29.5" customHeight="1">
      <c r="A65" s="32"/>
      <c r="B65" s="56" t="str">
        <f>"0201423644448"</f>
        <v>0201423644448</v>
      </c>
      <c r="C65" s="33" t="s">
        <v>766</v>
      </c>
      <c r="D65" s="34" t="s">
        <v>1205</v>
      </c>
      <c r="E65" s="34" t="s">
        <v>506</v>
      </c>
      <c r="F65" s="32" t="s">
        <v>212</v>
      </c>
      <c r="G65" s="32" t="s">
        <v>8</v>
      </c>
      <c r="H65" s="40">
        <v>4.99</v>
      </c>
      <c r="I65" s="32"/>
      <c r="J65" s="35">
        <f>VLOOKUP(B65,'[1]remainderlist'!$B$1:$I$1139,8,FALSE)</f>
        <v>249</v>
      </c>
      <c r="K65" s="33" t="s">
        <v>986</v>
      </c>
      <c r="L65" s="32">
        <v>28</v>
      </c>
      <c r="M65" s="32" t="str">
        <f>"9781423644446"</f>
        <v>9781423644446</v>
      </c>
      <c r="N65" s="36">
        <v>23.99</v>
      </c>
      <c r="O65" s="20" t="s">
        <v>506</v>
      </c>
      <c r="P65" s="19"/>
      <c r="Q65" s="19"/>
    </row>
    <row r="66" spans="1:17" ht="29.5" customHeight="1">
      <c r="A66" s="32"/>
      <c r="B66" s="56" t="str">
        <f>"0201423631196"</f>
        <v>0201423631196</v>
      </c>
      <c r="C66" s="33" t="s">
        <v>766</v>
      </c>
      <c r="D66" s="34" t="s">
        <v>790</v>
      </c>
      <c r="E66" s="34" t="s">
        <v>506</v>
      </c>
      <c r="F66" s="32" t="s">
        <v>188</v>
      </c>
      <c r="G66" s="32" t="s">
        <v>8</v>
      </c>
      <c r="H66" s="40">
        <v>5</v>
      </c>
      <c r="I66" s="32"/>
      <c r="J66" s="35">
        <f>VLOOKUP(B66,'[1]remainderlist'!$B$1:$I$1139,8,FALSE)</f>
        <v>45</v>
      </c>
      <c r="K66" s="33" t="s">
        <v>647</v>
      </c>
      <c r="L66" s="32">
        <v>24</v>
      </c>
      <c r="M66" s="32" t="str">
        <f>"9781423631194"</f>
        <v>9781423631194</v>
      </c>
      <c r="N66" s="36">
        <v>27.99</v>
      </c>
      <c r="O66" s="20" t="s">
        <v>506</v>
      </c>
      <c r="P66" s="19"/>
      <c r="Q66" s="19"/>
    </row>
    <row r="67" spans="1:17" ht="29.5" customHeight="1">
      <c r="A67" s="32"/>
      <c r="B67" s="56" t="str">
        <f>"0201423640655"</f>
        <v>0201423640655</v>
      </c>
      <c r="C67" s="33" t="s">
        <v>766</v>
      </c>
      <c r="D67" s="34" t="s">
        <v>1203</v>
      </c>
      <c r="E67" s="34" t="s">
        <v>1204</v>
      </c>
      <c r="F67" s="32" t="s">
        <v>210</v>
      </c>
      <c r="G67" s="32" t="s">
        <v>8</v>
      </c>
      <c r="H67" s="40">
        <v>5.99</v>
      </c>
      <c r="I67" s="32"/>
      <c r="J67" s="35">
        <f>VLOOKUP(B67,'[1]remainderlist'!$B$1:$I$1139,8,FALSE)</f>
        <v>87</v>
      </c>
      <c r="K67" s="33" t="s">
        <v>868</v>
      </c>
      <c r="L67" s="32">
        <v>24</v>
      </c>
      <c r="M67" s="32" t="str">
        <f>"9781423640653"</f>
        <v>9781423640653</v>
      </c>
      <c r="N67" s="36">
        <v>27.99</v>
      </c>
      <c r="O67" s="20" t="s">
        <v>506</v>
      </c>
      <c r="P67" s="19"/>
      <c r="Q67" s="19"/>
    </row>
    <row r="68" spans="1:17" ht="29.5" customHeight="1">
      <c r="A68" s="32"/>
      <c r="B68" s="56" t="str">
        <f>"0201743792546"</f>
        <v>0201743792546</v>
      </c>
      <c r="C68" s="33" t="s">
        <v>1345</v>
      </c>
      <c r="D68" s="34" t="s">
        <v>1226</v>
      </c>
      <c r="E68" s="34" t="s">
        <v>1227</v>
      </c>
      <c r="F68" s="32" t="s">
        <v>365</v>
      </c>
      <c r="G68" s="32" t="s">
        <v>8</v>
      </c>
      <c r="H68" s="40">
        <v>6.99</v>
      </c>
      <c r="I68" s="32"/>
      <c r="J68" s="35">
        <f>VLOOKUP(B68,'[1]remainderlist'!$B$1:$I$1139,8,FALSE)</f>
        <v>192</v>
      </c>
      <c r="K68" s="33" t="s">
        <v>1221</v>
      </c>
      <c r="L68" s="32">
        <v>16</v>
      </c>
      <c r="M68" s="32" t="str">
        <f>"9781743792544"</f>
        <v>9781743792544</v>
      </c>
      <c r="N68" s="36">
        <v>34.99</v>
      </c>
      <c r="O68" s="20" t="s">
        <v>506</v>
      </c>
      <c r="P68" s="19"/>
      <c r="Q68" s="19"/>
    </row>
    <row r="69" spans="1:17" ht="29.5" customHeight="1">
      <c r="A69" s="32"/>
      <c r="B69" s="56" t="str">
        <f>"0201743791747"</f>
        <v>0201743791747</v>
      </c>
      <c r="C69" s="33" t="s">
        <v>1345</v>
      </c>
      <c r="D69" s="34" t="s">
        <v>1206</v>
      </c>
      <c r="E69" s="34" t="s">
        <v>1207</v>
      </c>
      <c r="F69" s="32" t="s">
        <v>362</v>
      </c>
      <c r="G69" s="32" t="s">
        <v>8</v>
      </c>
      <c r="H69" s="40">
        <v>9.99</v>
      </c>
      <c r="I69" s="32"/>
      <c r="J69" s="35">
        <f>VLOOKUP(B69,'[1]remainderlist'!$B$1:$I$1139,8,FALSE)</f>
        <v>80</v>
      </c>
      <c r="K69" s="33" t="s">
        <v>986</v>
      </c>
      <c r="L69" s="32">
        <v>16</v>
      </c>
      <c r="M69" s="32" t="str">
        <f>"9781743791745"</f>
        <v>9781743791745</v>
      </c>
      <c r="N69" s="36">
        <v>49.99</v>
      </c>
      <c r="O69" s="20" t="s">
        <v>506</v>
      </c>
      <c r="P69" s="19"/>
      <c r="Q69" s="19"/>
    </row>
    <row r="70" spans="1:17" ht="29.5" customHeight="1">
      <c r="A70" s="32"/>
      <c r="B70" s="56" t="str">
        <f>"0201787130496"</f>
        <v>0201787130496</v>
      </c>
      <c r="C70" s="33" t="s">
        <v>1344</v>
      </c>
      <c r="D70" s="34" t="s">
        <v>1288</v>
      </c>
      <c r="E70" s="34" t="s">
        <v>1289</v>
      </c>
      <c r="F70" s="32" t="s">
        <v>402</v>
      </c>
      <c r="G70" s="32" t="s">
        <v>8</v>
      </c>
      <c r="H70" s="40">
        <v>8.13</v>
      </c>
      <c r="I70" s="37" t="s">
        <v>501</v>
      </c>
      <c r="J70" s="35">
        <f>VLOOKUP(B70,'[1]remainderlist'!$B$1:$I$1139,8,FALSE)</f>
        <v>216</v>
      </c>
      <c r="K70" s="33" t="s">
        <v>1290</v>
      </c>
      <c r="L70" s="32">
        <v>18</v>
      </c>
      <c r="M70" s="32" t="str">
        <f>"9781787130494"</f>
        <v>9781787130494</v>
      </c>
      <c r="N70" s="36">
        <v>32.5</v>
      </c>
      <c r="O70" s="20" t="s">
        <v>506</v>
      </c>
      <c r="P70" s="19"/>
      <c r="Q70" s="19"/>
    </row>
    <row r="71" spans="1:17" ht="29.5" customHeight="1">
      <c r="A71" s="32"/>
      <c r="B71" s="56" t="str">
        <f>"0201784880837"</f>
        <v>0201784880837</v>
      </c>
      <c r="C71" s="33" t="s">
        <v>1345</v>
      </c>
      <c r="D71" s="34" t="s">
        <v>1286</v>
      </c>
      <c r="E71" s="34" t="s">
        <v>1287</v>
      </c>
      <c r="F71" s="32" t="s">
        <v>398</v>
      </c>
      <c r="G71" s="32" t="s">
        <v>8</v>
      </c>
      <c r="H71" s="40">
        <v>7</v>
      </c>
      <c r="I71" s="37" t="s">
        <v>501</v>
      </c>
      <c r="J71" s="35">
        <f>VLOOKUP(B71,'[1]remainderlist'!$B$1:$I$1139,8,FALSE)</f>
        <v>200</v>
      </c>
      <c r="K71" s="33" t="s">
        <v>1221</v>
      </c>
      <c r="L71" s="32">
        <v>20</v>
      </c>
      <c r="M71" s="32" t="str">
        <f>"9781784880835"</f>
        <v>9781784880835</v>
      </c>
      <c r="N71" s="36">
        <v>27.99</v>
      </c>
      <c r="O71" s="20" t="s">
        <v>506</v>
      </c>
      <c r="P71" s="19"/>
      <c r="Q71" s="19"/>
    </row>
    <row r="72" spans="1:17" ht="29.5" customHeight="1">
      <c r="A72" s="32"/>
      <c r="B72" s="56" t="str">
        <f>"0201849497529"</f>
        <v>0201849497529</v>
      </c>
      <c r="C72" s="33" t="s">
        <v>1344</v>
      </c>
      <c r="D72" s="34" t="s">
        <v>1275</v>
      </c>
      <c r="E72" s="34" t="s">
        <v>506</v>
      </c>
      <c r="F72" s="32" t="s">
        <v>406</v>
      </c>
      <c r="G72" s="32" t="s">
        <v>8</v>
      </c>
      <c r="H72" s="40">
        <v>12.5</v>
      </c>
      <c r="I72" s="37" t="s">
        <v>501</v>
      </c>
      <c r="J72" s="35">
        <f>VLOOKUP(B72,'[1]remainderlist'!$B$1:$I$1139,8,FALSE)</f>
        <v>110</v>
      </c>
      <c r="K72" s="33" t="s">
        <v>986</v>
      </c>
      <c r="L72" s="32">
        <v>10</v>
      </c>
      <c r="M72" s="32" t="str">
        <f>"9781849497527"</f>
        <v>9781849497527</v>
      </c>
      <c r="N72" s="36">
        <v>50</v>
      </c>
      <c r="O72" s="20" t="s">
        <v>506</v>
      </c>
      <c r="P72" s="19"/>
      <c r="Q72" s="19"/>
    </row>
    <row r="73" spans="1:17" ht="29.5" customHeight="1">
      <c r="A73" s="32"/>
      <c r="B73" s="56" t="str">
        <f>"0201452125932"</f>
        <v>0201452125932</v>
      </c>
      <c r="C73" s="33" t="s">
        <v>1377</v>
      </c>
      <c r="D73" s="34" t="s">
        <v>877</v>
      </c>
      <c r="E73" s="34" t="s">
        <v>878</v>
      </c>
      <c r="F73" s="32" t="s">
        <v>262</v>
      </c>
      <c r="G73" s="32" t="s">
        <v>8</v>
      </c>
      <c r="H73" s="40">
        <v>4.99</v>
      </c>
      <c r="I73" s="32"/>
      <c r="J73" s="35">
        <f>VLOOKUP(B73,'[1]remainderlist'!$B$1:$I$1139,8,FALSE)</f>
        <v>90</v>
      </c>
      <c r="K73" s="33" t="s">
        <v>807</v>
      </c>
      <c r="L73" s="32">
        <v>36</v>
      </c>
      <c r="M73" s="32" t="str">
        <f>"9781452125930"</f>
        <v>9781452125930</v>
      </c>
      <c r="N73" s="36">
        <v>26.95</v>
      </c>
      <c r="O73" s="20" t="s">
        <v>506</v>
      </c>
      <c r="P73" s="19"/>
      <c r="Q73" s="19"/>
    </row>
    <row r="74" spans="1:17" ht="29.5" customHeight="1">
      <c r="A74" s="32"/>
      <c r="B74" s="56" t="str">
        <f>"0201423640839"</f>
        <v>0201423640839</v>
      </c>
      <c r="C74" s="33" t="s">
        <v>766</v>
      </c>
      <c r="D74" s="34" t="s">
        <v>1147</v>
      </c>
      <c r="E74" s="34" t="s">
        <v>506</v>
      </c>
      <c r="F74" s="32" t="s">
        <v>205</v>
      </c>
      <c r="G74" s="32" t="s">
        <v>61</v>
      </c>
      <c r="H74" s="40">
        <v>2.99</v>
      </c>
      <c r="I74" s="32"/>
      <c r="J74" s="35">
        <f>VLOOKUP(B74,'[1]remainderlist'!$B$1:$I$1139,8,FALSE)</f>
        <v>659</v>
      </c>
      <c r="K74" s="33" t="s">
        <v>868</v>
      </c>
      <c r="L74" s="32">
        <v>48</v>
      </c>
      <c r="M74" s="32" t="str">
        <f>"9781423640837"</f>
        <v>9781423640837</v>
      </c>
      <c r="N74" s="36">
        <v>13.99</v>
      </c>
      <c r="O74" s="20" t="s">
        <v>506</v>
      </c>
      <c r="P74" s="19"/>
      <c r="Q74" s="19"/>
    </row>
    <row r="75" spans="1:17" ht="29.5" customHeight="1">
      <c r="A75" s="32"/>
      <c r="B75" s="56" t="str">
        <f>"0201423644929"</f>
        <v>0201423644929</v>
      </c>
      <c r="C75" s="33" t="s">
        <v>766</v>
      </c>
      <c r="D75" s="34" t="s">
        <v>1262</v>
      </c>
      <c r="E75" s="34" t="s">
        <v>1263</v>
      </c>
      <c r="F75" s="32" t="s">
        <v>213</v>
      </c>
      <c r="G75" s="32" t="s">
        <v>8</v>
      </c>
      <c r="H75" s="40">
        <v>7</v>
      </c>
      <c r="I75" s="37" t="s">
        <v>501</v>
      </c>
      <c r="J75" s="35">
        <f>VLOOKUP(B75,'[1]remainderlist'!$B$1:$I$1139,8,FALSE)</f>
        <v>600</v>
      </c>
      <c r="K75" s="33" t="s">
        <v>1221</v>
      </c>
      <c r="L75" s="32">
        <v>12</v>
      </c>
      <c r="M75" s="32" t="str">
        <f>"9781423644927"</f>
        <v>9781423644927</v>
      </c>
      <c r="N75" s="36">
        <v>27.99</v>
      </c>
      <c r="O75" s="20" t="s">
        <v>506</v>
      </c>
      <c r="P75" s="19"/>
      <c r="Q75" s="19"/>
    </row>
    <row r="76" spans="1:17" ht="29.5" customHeight="1">
      <c r="A76" s="32"/>
      <c r="B76" s="56" t="str">
        <f>"0201784880950"</f>
        <v>0201784880950</v>
      </c>
      <c r="C76" s="33" t="s">
        <v>1345</v>
      </c>
      <c r="D76" s="34" t="s">
        <v>1293</v>
      </c>
      <c r="E76" s="34" t="s">
        <v>1294</v>
      </c>
      <c r="F76" s="32" t="s">
        <v>400</v>
      </c>
      <c r="G76" s="32" t="s">
        <v>8</v>
      </c>
      <c r="H76" s="40">
        <v>7</v>
      </c>
      <c r="I76" s="37" t="s">
        <v>501</v>
      </c>
      <c r="J76" s="35">
        <f>VLOOKUP(B76,'[1]remainderlist'!$B$1:$I$1139,8,FALSE)</f>
        <v>300</v>
      </c>
      <c r="K76" s="33" t="s">
        <v>1221</v>
      </c>
      <c r="L76" s="32">
        <v>20</v>
      </c>
      <c r="M76" s="32" t="str">
        <f>"9781784880958"</f>
        <v>9781784880958</v>
      </c>
      <c r="N76" s="36">
        <v>27.99</v>
      </c>
      <c r="O76" s="20" t="s">
        <v>506</v>
      </c>
      <c r="P76" s="19"/>
      <c r="Q76" s="19"/>
    </row>
    <row r="77" spans="1:17" ht="29.5" customHeight="1">
      <c r="A77" s="32"/>
      <c r="B77" s="56" t="str">
        <f>"0201452119627"</f>
        <v>0201452119627</v>
      </c>
      <c r="C77" s="33" t="s">
        <v>1377</v>
      </c>
      <c r="D77" s="34" t="s">
        <v>762</v>
      </c>
      <c r="E77" s="34" t="s">
        <v>763</v>
      </c>
      <c r="F77" s="32" t="s">
        <v>249</v>
      </c>
      <c r="G77" s="32" t="s">
        <v>8</v>
      </c>
      <c r="H77" s="40">
        <v>9.99</v>
      </c>
      <c r="I77" s="32"/>
      <c r="J77" s="35">
        <f>VLOOKUP(B77,'[1]remainderlist'!$B$1:$I$1139,8,FALSE)</f>
        <v>385</v>
      </c>
      <c r="K77" s="33" t="s">
        <v>509</v>
      </c>
      <c r="L77" s="32">
        <v>12</v>
      </c>
      <c r="M77" s="32" t="str">
        <f>"9781452119625"</f>
        <v>9781452119625</v>
      </c>
      <c r="N77" s="36">
        <v>50</v>
      </c>
      <c r="O77" s="20" t="s">
        <v>506</v>
      </c>
      <c r="P77" s="19"/>
      <c r="Q77" s="19"/>
    </row>
    <row r="78" spans="1:17" ht="29.5" customHeight="1">
      <c r="A78" s="32"/>
      <c r="B78" s="56" t="str">
        <f>"0201452145664"</f>
        <v>0201452145664</v>
      </c>
      <c r="C78" s="33" t="s">
        <v>1377</v>
      </c>
      <c r="D78" s="34" t="s">
        <v>927</v>
      </c>
      <c r="E78" s="34" t="s">
        <v>928</v>
      </c>
      <c r="F78" s="32" t="s">
        <v>311</v>
      </c>
      <c r="G78" s="32" t="s">
        <v>6</v>
      </c>
      <c r="H78" s="40">
        <v>4.99</v>
      </c>
      <c r="I78" s="32"/>
      <c r="J78" s="35">
        <f>VLOOKUP(B78,'[1]remainderlist'!$B$1:$I$1139,8,FALSE)</f>
        <v>110</v>
      </c>
      <c r="K78" s="33" t="s">
        <v>905</v>
      </c>
      <c r="L78" s="32">
        <v>40</v>
      </c>
      <c r="M78" s="32" t="str">
        <f>"9781452145662"</f>
        <v>9781452145662</v>
      </c>
      <c r="N78" s="36">
        <v>23.95</v>
      </c>
      <c r="O78" s="20" t="s">
        <v>506</v>
      </c>
      <c r="P78" s="19"/>
      <c r="Q78" s="19"/>
    </row>
    <row r="79" spans="1:17" ht="29.5" customHeight="1">
      <c r="A79" s="32"/>
      <c r="B79" s="56" t="str">
        <f>"0201849497611"</f>
        <v>0201849497611</v>
      </c>
      <c r="C79" s="33" t="s">
        <v>1344</v>
      </c>
      <c r="D79" s="34" t="s">
        <v>1224</v>
      </c>
      <c r="E79" s="34" t="s">
        <v>1225</v>
      </c>
      <c r="F79" s="32" t="s">
        <v>408</v>
      </c>
      <c r="G79" s="32" t="s">
        <v>8</v>
      </c>
      <c r="H79" s="40">
        <v>7.99</v>
      </c>
      <c r="I79" s="32"/>
      <c r="J79" s="35">
        <f>VLOOKUP(B79,'[1]remainderlist'!$B$1:$I$1139,8,FALSE)</f>
        <v>126</v>
      </c>
      <c r="K79" s="33" t="s">
        <v>986</v>
      </c>
      <c r="L79" s="32">
        <v>14</v>
      </c>
      <c r="M79" s="32" t="str">
        <f>"9781849497619"</f>
        <v>9781849497619</v>
      </c>
      <c r="N79" s="36">
        <v>41.95</v>
      </c>
      <c r="O79" s="20" t="s">
        <v>506</v>
      </c>
      <c r="P79" s="19"/>
      <c r="Q79" s="19"/>
    </row>
    <row r="80" spans="1:17" ht="29.5" customHeight="1">
      <c r="A80" s="32"/>
      <c r="B80" s="56" t="str">
        <f>"0201452104685"</f>
        <v>0201452104685</v>
      </c>
      <c r="C80" s="33" t="s">
        <v>1377</v>
      </c>
      <c r="D80" s="34" t="s">
        <v>612</v>
      </c>
      <c r="E80" s="34" t="s">
        <v>506</v>
      </c>
      <c r="F80" s="32" t="s">
        <v>224</v>
      </c>
      <c r="G80" s="32" t="s">
        <v>26</v>
      </c>
      <c r="H80" s="40">
        <v>5.99</v>
      </c>
      <c r="I80" s="32"/>
      <c r="J80" s="35">
        <f>VLOOKUP(B80,'[1]remainderlist'!$B$1:$I$1139,8,FALSE)</f>
        <v>100</v>
      </c>
      <c r="K80" s="33" t="s">
        <v>526</v>
      </c>
      <c r="L80" s="32">
        <v>30</v>
      </c>
      <c r="M80" s="32" t="str">
        <f>"9781452104683"</f>
        <v>9781452104683</v>
      </c>
      <c r="N80" s="36">
        <v>27.95</v>
      </c>
      <c r="O80" s="20" t="s">
        <v>506</v>
      </c>
      <c r="P80" s="19"/>
      <c r="Q80" s="19"/>
    </row>
    <row r="81" spans="1:17" ht="29.5" customHeight="1">
      <c r="A81" s="32"/>
      <c r="B81" s="56" t="str">
        <f>"0200991858875"</f>
        <v>0200991858875</v>
      </c>
      <c r="C81" s="33" t="s">
        <v>1341</v>
      </c>
      <c r="D81" s="34" t="s">
        <v>1334</v>
      </c>
      <c r="E81" s="34" t="s">
        <v>506</v>
      </c>
      <c r="F81" s="32" t="s">
        <v>27</v>
      </c>
      <c r="G81" s="32" t="s">
        <v>6</v>
      </c>
      <c r="H81" s="40">
        <v>6.24</v>
      </c>
      <c r="I81" s="37" t="s">
        <v>501</v>
      </c>
      <c r="J81" s="35">
        <f>VLOOKUP(B81,'[1]remainderlist'!$B$1:$I$1139,8,FALSE)</f>
        <v>631</v>
      </c>
      <c r="K81" s="33" t="s">
        <v>647</v>
      </c>
      <c r="L81" s="32">
        <v>24</v>
      </c>
      <c r="M81" s="32" t="str">
        <f>"9780991858873"</f>
        <v>9780991858873</v>
      </c>
      <c r="N81" s="36">
        <v>24.95</v>
      </c>
      <c r="O81" s="20" t="s">
        <v>506</v>
      </c>
      <c r="P81" s="19"/>
      <c r="Q81" s="19"/>
    </row>
    <row r="82" spans="1:17" ht="29.5" customHeight="1">
      <c r="A82" s="32"/>
      <c r="B82" s="56" t="str">
        <f>"0201452135085"</f>
        <v>0201452135085</v>
      </c>
      <c r="C82" s="33" t="s">
        <v>1377</v>
      </c>
      <c r="D82" s="34" t="s">
        <v>1181</v>
      </c>
      <c r="E82" s="34" t="s">
        <v>1182</v>
      </c>
      <c r="F82" s="32" t="s">
        <v>281</v>
      </c>
      <c r="G82" s="32" t="s">
        <v>8</v>
      </c>
      <c r="H82" s="40">
        <v>7.99</v>
      </c>
      <c r="I82" s="32"/>
      <c r="J82" s="35">
        <f>VLOOKUP(B82,'[1]remainderlist'!$B$1:$I$1139,8,FALSE)</f>
        <v>79</v>
      </c>
      <c r="K82" s="33" t="s">
        <v>905</v>
      </c>
      <c r="L82" s="32">
        <v>16</v>
      </c>
      <c r="M82" s="32" t="str">
        <f>"9781452135083"</f>
        <v>9781452135083</v>
      </c>
      <c r="N82" s="36">
        <v>42.95</v>
      </c>
      <c r="O82" s="20" t="s">
        <v>506</v>
      </c>
      <c r="P82" s="19"/>
      <c r="Q82" s="19"/>
    </row>
    <row r="83" spans="1:17" ht="29.5" customHeight="1">
      <c r="A83" s="32"/>
      <c r="B83" s="56" t="str">
        <f>"0201452112697"</f>
        <v>0201452112697</v>
      </c>
      <c r="C83" s="33" t="s">
        <v>1377</v>
      </c>
      <c r="D83" s="34" t="s">
        <v>699</v>
      </c>
      <c r="E83" s="34" t="s">
        <v>700</v>
      </c>
      <c r="F83" s="32" t="s">
        <v>240</v>
      </c>
      <c r="G83" s="32" t="s">
        <v>6</v>
      </c>
      <c r="H83" s="40">
        <v>7.99</v>
      </c>
      <c r="I83" s="32"/>
      <c r="J83" s="35">
        <f>VLOOKUP(B83,'[1]remainderlist'!$B$1:$I$1139,8,FALSE)</f>
        <v>301</v>
      </c>
      <c r="K83" s="33" t="s">
        <v>643</v>
      </c>
      <c r="L83" s="32">
        <v>16</v>
      </c>
      <c r="M83" s="32" t="str">
        <f>"9781452112695"</f>
        <v>9781452112695</v>
      </c>
      <c r="N83" s="36">
        <v>38.95</v>
      </c>
      <c r="O83" s="20" t="s">
        <v>506</v>
      </c>
      <c r="P83" s="19"/>
      <c r="Q83" s="19"/>
    </row>
    <row r="84" spans="1:17" ht="29.5" customHeight="1">
      <c r="A84" s="32"/>
      <c r="B84" s="56" t="str">
        <f>"0201743219494"</f>
        <v>0201743219494</v>
      </c>
      <c r="C84" s="33" t="s">
        <v>1342</v>
      </c>
      <c r="D84" s="34" t="s">
        <v>947</v>
      </c>
      <c r="E84" s="34" t="s">
        <v>506</v>
      </c>
      <c r="F84" s="32" t="s">
        <v>356</v>
      </c>
      <c r="G84" s="32" t="s">
        <v>8</v>
      </c>
      <c r="H84" s="40">
        <v>6.99</v>
      </c>
      <c r="I84" s="32"/>
      <c r="J84" s="35">
        <f>VLOOKUP(B84,'[1]remainderlist'!$B$1:$I$1139,8,FALSE)</f>
        <v>230</v>
      </c>
      <c r="K84" s="33" t="s">
        <v>647</v>
      </c>
      <c r="L84" s="32">
        <v>6</v>
      </c>
      <c r="M84" s="32" t="str">
        <f>"9781743219492"</f>
        <v>9781743219492</v>
      </c>
      <c r="N84" s="36">
        <v>35.99</v>
      </c>
      <c r="O84" s="20" t="s">
        <v>506</v>
      </c>
      <c r="P84" s="19"/>
      <c r="Q84" s="19"/>
    </row>
    <row r="85" spans="1:17" ht="29.5" customHeight="1">
      <c r="A85" s="32"/>
      <c r="B85" s="56" t="str">
        <f>"0201743790115"</f>
        <v>0201743790115</v>
      </c>
      <c r="C85" s="33" t="s">
        <v>1345</v>
      </c>
      <c r="D85" s="34" t="s">
        <v>1297</v>
      </c>
      <c r="E85" s="34" t="s">
        <v>1298</v>
      </c>
      <c r="F85" s="32" t="s">
        <v>359</v>
      </c>
      <c r="G85" s="32" t="s">
        <v>8</v>
      </c>
      <c r="H85" s="40">
        <v>7</v>
      </c>
      <c r="I85" s="37" t="s">
        <v>501</v>
      </c>
      <c r="J85" s="35">
        <f>VLOOKUP(B85,'[1]remainderlist'!$B$1:$I$1139,8,FALSE)</f>
        <v>440</v>
      </c>
      <c r="K85" s="33" t="s">
        <v>1221</v>
      </c>
      <c r="L85" s="32">
        <v>22</v>
      </c>
      <c r="M85" s="32" t="str">
        <f>"9781743790113"</f>
        <v>9781743790113</v>
      </c>
      <c r="N85" s="36">
        <v>27.99</v>
      </c>
      <c r="O85" s="20" t="s">
        <v>506</v>
      </c>
      <c r="P85" s="19"/>
      <c r="Q85" s="19"/>
    </row>
    <row r="86" spans="1:17" ht="29.5" customHeight="1">
      <c r="A86" s="32"/>
      <c r="B86" s="56" t="str">
        <f>"0201849497543"</f>
        <v>0201849497543</v>
      </c>
      <c r="C86" s="33" t="s">
        <v>1344</v>
      </c>
      <c r="D86" s="34" t="s">
        <v>1228</v>
      </c>
      <c r="E86" s="34" t="s">
        <v>506</v>
      </c>
      <c r="F86" s="32" t="s">
        <v>407</v>
      </c>
      <c r="G86" s="32" t="s">
        <v>8</v>
      </c>
      <c r="H86" s="40">
        <v>7.99</v>
      </c>
      <c r="I86" s="32"/>
      <c r="J86" s="35">
        <f>VLOOKUP(B86,'[1]remainderlist'!$B$1:$I$1139,8,FALSE)</f>
        <v>192</v>
      </c>
      <c r="K86" s="33" t="s">
        <v>905</v>
      </c>
      <c r="L86" s="32">
        <v>14</v>
      </c>
      <c r="M86" s="32" t="str">
        <f>"9781849497541"</f>
        <v>9781849497541</v>
      </c>
      <c r="N86" s="36">
        <v>35.95</v>
      </c>
      <c r="O86" s="20" t="s">
        <v>506</v>
      </c>
      <c r="P86" s="19"/>
      <c r="Q86" s="19"/>
    </row>
    <row r="87" spans="1:17" ht="29.5" customHeight="1">
      <c r="A87" s="32"/>
      <c r="B87" s="56" t="str">
        <f>"0201452111621"</f>
        <v>0201452111621</v>
      </c>
      <c r="C87" s="33" t="s">
        <v>1377</v>
      </c>
      <c r="D87" s="34" t="s">
        <v>818</v>
      </c>
      <c r="E87" s="34" t="s">
        <v>819</v>
      </c>
      <c r="F87" s="32" t="s">
        <v>236</v>
      </c>
      <c r="G87" s="32" t="s">
        <v>8</v>
      </c>
      <c r="H87" s="40">
        <v>7.99</v>
      </c>
      <c r="I87" s="32"/>
      <c r="J87" s="35">
        <f>VLOOKUP(B87,'[1]remainderlist'!$B$1:$I$1139,8,FALSE)</f>
        <v>229</v>
      </c>
      <c r="K87" s="33" t="s">
        <v>509</v>
      </c>
      <c r="L87" s="32">
        <v>12</v>
      </c>
      <c r="M87" s="32" t="str">
        <f>"9781452111629"</f>
        <v>9781452111629</v>
      </c>
      <c r="N87" s="36">
        <v>41.95</v>
      </c>
      <c r="O87" s="20" t="s">
        <v>506</v>
      </c>
      <c r="P87" s="19"/>
      <c r="Q87" s="19"/>
    </row>
    <row r="88" spans="1:17" ht="29.5" customHeight="1">
      <c r="A88" s="32"/>
      <c r="B88" s="56" t="str">
        <f>"0201784880257"</f>
        <v>0201784880257</v>
      </c>
      <c r="C88" s="33" t="s">
        <v>1345</v>
      </c>
      <c r="D88" s="34" t="s">
        <v>1300</v>
      </c>
      <c r="E88" s="34" t="s">
        <v>1301</v>
      </c>
      <c r="F88" s="32" t="s">
        <v>392</v>
      </c>
      <c r="G88" s="32" t="s">
        <v>6</v>
      </c>
      <c r="H88" s="40">
        <v>10.5</v>
      </c>
      <c r="I88" s="37" t="s">
        <v>501</v>
      </c>
      <c r="J88" s="35">
        <f>VLOOKUP(B88,'[1]remainderlist'!$B$1:$I$1139,8,FALSE)</f>
        <v>800</v>
      </c>
      <c r="K88" s="33" t="s">
        <v>1221</v>
      </c>
      <c r="L88" s="32">
        <v>20</v>
      </c>
      <c r="M88" s="32" t="str">
        <f>"9781784880255"</f>
        <v>9781784880255</v>
      </c>
      <c r="N88" s="36">
        <v>41.99</v>
      </c>
      <c r="O88" s="20" t="s">
        <v>506</v>
      </c>
      <c r="P88" s="19"/>
      <c r="Q88" s="19"/>
    </row>
    <row r="89" spans="1:17" ht="29.5" customHeight="1">
      <c r="A89" s="32"/>
      <c r="B89" s="56" t="str">
        <f>"0201784880172"</f>
        <v>0201784880172</v>
      </c>
      <c r="C89" s="33" t="s">
        <v>1345</v>
      </c>
      <c r="D89" s="34" t="s">
        <v>1266</v>
      </c>
      <c r="E89" s="34" t="s">
        <v>1267</v>
      </c>
      <c r="F89" s="32" t="s">
        <v>391</v>
      </c>
      <c r="G89" s="32" t="s">
        <v>8</v>
      </c>
      <c r="H89" s="40">
        <v>5.24</v>
      </c>
      <c r="I89" s="37" t="s">
        <v>501</v>
      </c>
      <c r="J89" s="35">
        <f>VLOOKUP(B89,'[1]remainderlist'!$B$1:$I$1139,8,FALSE)</f>
        <v>60</v>
      </c>
      <c r="K89" s="33" t="s">
        <v>905</v>
      </c>
      <c r="L89" s="32">
        <v>30</v>
      </c>
      <c r="M89" s="32" t="str">
        <f>"9781784880170"</f>
        <v>9781784880170</v>
      </c>
      <c r="N89" s="36">
        <v>20.95</v>
      </c>
      <c r="O89" s="20" t="s">
        <v>506</v>
      </c>
      <c r="P89" s="19"/>
      <c r="Q89" s="19"/>
    </row>
    <row r="90" spans="1:17" ht="29.5" customHeight="1">
      <c r="A90" s="32"/>
      <c r="B90" s="56" t="str">
        <f>"0201784880868"</f>
        <v>0201784880868</v>
      </c>
      <c r="C90" s="33" t="s">
        <v>1345</v>
      </c>
      <c r="D90" s="34" t="s">
        <v>1283</v>
      </c>
      <c r="E90" s="34" t="s">
        <v>1284</v>
      </c>
      <c r="F90" s="32" t="s">
        <v>399</v>
      </c>
      <c r="G90" s="32" t="s">
        <v>8</v>
      </c>
      <c r="H90" s="40">
        <v>7</v>
      </c>
      <c r="I90" s="37" t="s">
        <v>501</v>
      </c>
      <c r="J90" s="35">
        <f>VLOOKUP(B90,'[1]remainderlist'!$B$1:$I$1139,8,FALSE)</f>
        <v>140</v>
      </c>
      <c r="K90" s="33" t="s">
        <v>1221</v>
      </c>
      <c r="L90" s="32">
        <v>20</v>
      </c>
      <c r="M90" s="32" t="str">
        <f>"9781784880866"</f>
        <v>9781784880866</v>
      </c>
      <c r="N90" s="36">
        <v>27.99</v>
      </c>
      <c r="O90" s="20" t="s">
        <v>506</v>
      </c>
      <c r="P90" s="19"/>
      <c r="Q90" s="19"/>
    </row>
    <row r="91" spans="1:17" ht="29.5" customHeight="1">
      <c r="A91" s="32"/>
      <c r="B91" s="56" t="str">
        <f>"0221927958155"</f>
        <v>0221927958155</v>
      </c>
      <c r="C91" s="33" t="s">
        <v>1341</v>
      </c>
      <c r="D91" s="34" t="s">
        <v>1337</v>
      </c>
      <c r="E91" s="34" t="s">
        <v>1338</v>
      </c>
      <c r="F91" s="32" t="s">
        <v>498</v>
      </c>
      <c r="G91" s="32" t="s">
        <v>8</v>
      </c>
      <c r="H91" s="40">
        <v>7.49</v>
      </c>
      <c r="I91" s="37" t="s">
        <v>501</v>
      </c>
      <c r="J91" s="35">
        <f>VLOOKUP(B91,'[1]remainderlist'!$B$1:$I$1139,8,FALSE)</f>
        <v>720</v>
      </c>
      <c r="K91" s="33" t="s">
        <v>509</v>
      </c>
      <c r="L91" s="32">
        <v>12</v>
      </c>
      <c r="M91" s="32" t="str">
        <f>"9781927958155"</f>
        <v>9781927958155</v>
      </c>
      <c r="N91" s="36">
        <v>29.95</v>
      </c>
      <c r="O91" s="20" t="s">
        <v>506</v>
      </c>
      <c r="P91" s="19"/>
      <c r="Q91" s="19"/>
    </row>
    <row r="92" spans="1:17" ht="29.5" customHeight="1">
      <c r="A92" s="32"/>
      <c r="B92" s="56" t="str">
        <f>"0201849498397"</f>
        <v>0201849498397</v>
      </c>
      <c r="C92" s="33" t="s">
        <v>1344</v>
      </c>
      <c r="D92" s="34" t="s">
        <v>1217</v>
      </c>
      <c r="E92" s="34" t="s">
        <v>1218</v>
      </c>
      <c r="F92" s="32" t="s">
        <v>411</v>
      </c>
      <c r="G92" s="32" t="s">
        <v>8</v>
      </c>
      <c r="H92" s="40">
        <v>7.99</v>
      </c>
      <c r="I92" s="32"/>
      <c r="J92" s="35">
        <f>VLOOKUP(B92,'[1]remainderlist'!$B$1:$I$1139,8,FALSE)</f>
        <v>120</v>
      </c>
      <c r="K92" s="33" t="s">
        <v>986</v>
      </c>
      <c r="L92" s="32">
        <v>20</v>
      </c>
      <c r="M92" s="32" t="str">
        <f>"9781849498395"</f>
        <v>9781849498395</v>
      </c>
      <c r="N92" s="36">
        <v>41.95</v>
      </c>
      <c r="O92" s="20" t="s">
        <v>506</v>
      </c>
      <c r="P92" s="19"/>
      <c r="Q92" s="19"/>
    </row>
    <row r="93" spans="1:17" ht="29.5" customHeight="1">
      <c r="A93" s="32"/>
      <c r="B93" s="56" t="str">
        <f>"0201452140560"</f>
        <v>0201452140560</v>
      </c>
      <c r="C93" s="33" t="s">
        <v>1377</v>
      </c>
      <c r="D93" s="34" t="s">
        <v>925</v>
      </c>
      <c r="E93" s="34" t="s">
        <v>926</v>
      </c>
      <c r="F93" s="32" t="s">
        <v>280</v>
      </c>
      <c r="G93" s="32" t="s">
        <v>8</v>
      </c>
      <c r="H93" s="40">
        <v>7.99</v>
      </c>
      <c r="I93" s="32"/>
      <c r="J93" s="35">
        <f>VLOOKUP(B93,'[1]remainderlist'!$B$1:$I$1139,8,FALSE)</f>
        <v>200</v>
      </c>
      <c r="K93" s="33" t="s">
        <v>868</v>
      </c>
      <c r="L93" s="32">
        <v>18</v>
      </c>
      <c r="M93" s="32" t="str">
        <f>"9781452140568"</f>
        <v>9781452140568</v>
      </c>
      <c r="N93" s="36">
        <v>41.95</v>
      </c>
      <c r="O93" s="20" t="s">
        <v>506</v>
      </c>
      <c r="P93" s="19"/>
      <c r="Q93" s="19"/>
    </row>
    <row r="94" spans="1:17" ht="29.5" customHeight="1">
      <c r="A94" s="32"/>
      <c r="B94" s="56" t="str">
        <f>"0201452135078"</f>
        <v>0201452135078</v>
      </c>
      <c r="C94" s="33" t="s">
        <v>1377</v>
      </c>
      <c r="D94" s="34" t="s">
        <v>820</v>
      </c>
      <c r="E94" s="34" t="s">
        <v>821</v>
      </c>
      <c r="F94" s="32" t="s">
        <v>280</v>
      </c>
      <c r="G94" s="32" t="s">
        <v>8</v>
      </c>
      <c r="H94" s="40">
        <v>9.99</v>
      </c>
      <c r="I94" s="32"/>
      <c r="J94" s="35">
        <f>VLOOKUP(B94,'[1]remainderlist'!$B$1:$I$1139,8,FALSE)</f>
        <v>399</v>
      </c>
      <c r="K94" s="33" t="s">
        <v>509</v>
      </c>
      <c r="L94" s="32">
        <v>10</v>
      </c>
      <c r="M94" s="32" t="str">
        <f>"9781452135076"</f>
        <v>9781452135076</v>
      </c>
      <c r="N94" s="36">
        <v>50</v>
      </c>
      <c r="O94" s="20" t="s">
        <v>506</v>
      </c>
      <c r="P94" s="19"/>
      <c r="Q94" s="19"/>
    </row>
    <row r="95" spans="1:17" ht="29.5" customHeight="1">
      <c r="A95" s="32"/>
      <c r="B95" s="56" t="str">
        <f>"0201849498052"</f>
        <v>0201849498052</v>
      </c>
      <c r="C95" s="33" t="s">
        <v>1344</v>
      </c>
      <c r="D95" s="34" t="s">
        <v>1264</v>
      </c>
      <c r="E95" s="34" t="s">
        <v>1265</v>
      </c>
      <c r="F95" s="32" t="s">
        <v>410</v>
      </c>
      <c r="G95" s="32" t="s">
        <v>8</v>
      </c>
      <c r="H95" s="40">
        <v>6.99</v>
      </c>
      <c r="I95" s="37" t="s">
        <v>501</v>
      </c>
      <c r="J95" s="35">
        <f>VLOOKUP(B95,'[1]remainderlist'!$B$1:$I$1139,8,FALSE)</f>
        <v>56</v>
      </c>
      <c r="K95" s="33" t="s">
        <v>986</v>
      </c>
      <c r="L95" s="32">
        <v>28</v>
      </c>
      <c r="M95" s="32" t="str">
        <f>"9781849498050"</f>
        <v>9781849498050</v>
      </c>
      <c r="N95" s="36">
        <v>27.95</v>
      </c>
      <c r="O95" s="20" t="s">
        <v>506</v>
      </c>
      <c r="P95" s="19"/>
      <c r="Q95" s="19"/>
    </row>
    <row r="96" spans="1:17" ht="29.5" customHeight="1">
      <c r="A96" s="32"/>
      <c r="B96" s="56" t="str">
        <f>"0221452109626"</f>
        <v>0221452109626</v>
      </c>
      <c r="C96" s="33" t="s">
        <v>1377</v>
      </c>
      <c r="D96" s="34" t="s">
        <v>613</v>
      </c>
      <c r="E96" s="34" t="s">
        <v>614</v>
      </c>
      <c r="F96" s="32" t="s">
        <v>232</v>
      </c>
      <c r="G96" s="32" t="s">
        <v>6</v>
      </c>
      <c r="H96" s="40">
        <v>4.99</v>
      </c>
      <c r="I96" s="32"/>
      <c r="J96" s="35">
        <f>VLOOKUP(B96,'[1]remainderlist'!$B$1:$I$1139,8,FALSE)</f>
        <v>122</v>
      </c>
      <c r="K96" s="33" t="s">
        <v>615</v>
      </c>
      <c r="L96" s="32">
        <v>32</v>
      </c>
      <c r="M96" s="32" t="str">
        <f>"9781452109626"</f>
        <v>9781452109626</v>
      </c>
      <c r="N96" s="36">
        <v>26.95</v>
      </c>
      <c r="O96" s="20" t="s">
        <v>506</v>
      </c>
      <c r="P96" s="19"/>
      <c r="Q96" s="19"/>
    </row>
    <row r="97" spans="1:17" ht="29.5" customHeight="1">
      <c r="A97" s="32"/>
      <c r="B97" s="56" t="str">
        <f>"0201849498816"</f>
        <v>0201849498816</v>
      </c>
      <c r="C97" s="33" t="s">
        <v>1344</v>
      </c>
      <c r="D97" s="34" t="s">
        <v>1276</v>
      </c>
      <c r="E97" s="34" t="s">
        <v>506</v>
      </c>
      <c r="F97" s="32" t="s">
        <v>414</v>
      </c>
      <c r="G97" s="32" t="s">
        <v>8</v>
      </c>
      <c r="H97" s="40">
        <v>7</v>
      </c>
      <c r="I97" s="37" t="s">
        <v>501</v>
      </c>
      <c r="J97" s="35">
        <f>VLOOKUP(B97,'[1]remainderlist'!$B$1:$I$1139,8,FALSE)</f>
        <v>84</v>
      </c>
      <c r="K97" s="33" t="s">
        <v>1221</v>
      </c>
      <c r="L97" s="32">
        <v>28</v>
      </c>
      <c r="M97" s="32" t="str">
        <f>"9781849498814"</f>
        <v>9781849498814</v>
      </c>
      <c r="N97" s="36">
        <v>27.99</v>
      </c>
      <c r="O97" s="20" t="s">
        <v>506</v>
      </c>
      <c r="P97" s="19"/>
      <c r="Q97" s="19"/>
    </row>
    <row r="98" spans="1:17" ht="29.5" customHeight="1">
      <c r="A98" s="32"/>
      <c r="B98" s="56" t="str">
        <f>"0201849499622"</f>
        <v>0201849499622</v>
      </c>
      <c r="C98" s="33" t="s">
        <v>1344</v>
      </c>
      <c r="D98" s="34" t="s">
        <v>1285</v>
      </c>
      <c r="E98" s="34" t="s">
        <v>506</v>
      </c>
      <c r="F98" s="32" t="s">
        <v>414</v>
      </c>
      <c r="G98" s="32" t="s">
        <v>8</v>
      </c>
      <c r="H98" s="40">
        <v>7</v>
      </c>
      <c r="I98" s="37" t="s">
        <v>501</v>
      </c>
      <c r="J98" s="35">
        <f>VLOOKUP(B98,'[1]remainderlist'!$B$1:$I$1139,8,FALSE)</f>
        <v>168</v>
      </c>
      <c r="K98" s="33" t="s">
        <v>1221</v>
      </c>
      <c r="L98" s="32">
        <v>28</v>
      </c>
      <c r="M98" s="32" t="str">
        <f>"9781849499620"</f>
        <v>9781849499620</v>
      </c>
      <c r="N98" s="36">
        <v>27.99</v>
      </c>
      <c r="O98" s="20" t="s">
        <v>506</v>
      </c>
      <c r="P98" s="19"/>
      <c r="Q98" s="19"/>
    </row>
    <row r="99" spans="1:17" ht="29.5" customHeight="1">
      <c r="A99" s="32"/>
      <c r="B99" s="56" t="str">
        <f>"0201616894582"</f>
        <v>0201616894582</v>
      </c>
      <c r="C99" s="33" t="s">
        <v>1380</v>
      </c>
      <c r="D99" s="34" t="s">
        <v>1323</v>
      </c>
      <c r="E99" s="34" t="s">
        <v>1324</v>
      </c>
      <c r="F99" s="32" t="s">
        <v>337</v>
      </c>
      <c r="G99" s="32" t="s">
        <v>8</v>
      </c>
      <c r="H99" s="40">
        <v>5.99</v>
      </c>
      <c r="I99" s="37" t="s">
        <v>501</v>
      </c>
      <c r="J99" s="35">
        <f>VLOOKUP(B99,'[1]remainderlist'!$B$1:$I$1139,8,FALSE)</f>
        <v>96</v>
      </c>
      <c r="K99" s="33" t="s">
        <v>905</v>
      </c>
      <c r="L99" s="32">
        <v>48</v>
      </c>
      <c r="M99" s="32" t="str">
        <f>"9781616894580"</f>
        <v>9781616894580</v>
      </c>
      <c r="N99" s="36">
        <v>23.95</v>
      </c>
      <c r="O99" s="20" t="s">
        <v>506</v>
      </c>
      <c r="P99" s="19"/>
      <c r="Q99" s="19"/>
    </row>
    <row r="100" spans="1:17" ht="29.5" customHeight="1">
      <c r="A100" s="32"/>
      <c r="B100" s="56" t="str">
        <f>"0201423636313"</f>
        <v>0201423636313</v>
      </c>
      <c r="C100" s="33" t="s">
        <v>766</v>
      </c>
      <c r="D100" s="34" t="s">
        <v>779</v>
      </c>
      <c r="E100" s="34" t="s">
        <v>780</v>
      </c>
      <c r="F100" s="32" t="s">
        <v>201</v>
      </c>
      <c r="G100" s="32" t="s">
        <v>8</v>
      </c>
      <c r="H100" s="40">
        <v>5</v>
      </c>
      <c r="I100" s="32"/>
      <c r="J100" s="35">
        <f>VLOOKUP(B100,'[1]remainderlist'!$B$1:$I$1139,8,FALSE)</f>
        <v>280</v>
      </c>
      <c r="K100" s="33" t="s">
        <v>643</v>
      </c>
      <c r="L100" s="32">
        <v>20</v>
      </c>
      <c r="M100" s="32" t="str">
        <f>"9781423636311"</f>
        <v>9781423636311</v>
      </c>
      <c r="N100" s="36">
        <v>27.99</v>
      </c>
      <c r="O100" s="20" t="s">
        <v>506</v>
      </c>
      <c r="P100" s="19"/>
      <c r="Q100" s="19"/>
    </row>
    <row r="101" spans="1:17" ht="29.5" customHeight="1">
      <c r="A101" s="32"/>
      <c r="B101" s="56" t="str">
        <f>"0201849497208"</f>
        <v>0201849497208</v>
      </c>
      <c r="C101" s="33" t="s">
        <v>1344</v>
      </c>
      <c r="D101" s="34" t="s">
        <v>1209</v>
      </c>
      <c r="E101" s="34" t="s">
        <v>1210</v>
      </c>
      <c r="F101" s="32" t="s">
        <v>405</v>
      </c>
      <c r="G101" s="32" t="s">
        <v>8</v>
      </c>
      <c r="H101" s="40">
        <v>9.99</v>
      </c>
      <c r="I101" s="32"/>
      <c r="J101" s="35">
        <f>VLOOKUP(B101,'[1]remainderlist'!$B$1:$I$1139,8,FALSE)</f>
        <v>94</v>
      </c>
      <c r="K101" s="33" t="s">
        <v>986</v>
      </c>
      <c r="L101" s="32">
        <v>12</v>
      </c>
      <c r="M101" s="32" t="str">
        <f>"9781849497206"</f>
        <v>9781849497206</v>
      </c>
      <c r="N101" s="36">
        <v>50</v>
      </c>
      <c r="O101" s="20" t="s">
        <v>506</v>
      </c>
      <c r="P101" s="19"/>
      <c r="Q101" s="19"/>
    </row>
    <row r="102" spans="1:17" ht="29.5" customHeight="1">
      <c r="A102" s="32"/>
      <c r="B102" s="56" t="str">
        <f>"0201927958102"</f>
        <v>0201927958102</v>
      </c>
      <c r="C102" s="33" t="s">
        <v>1341</v>
      </c>
      <c r="D102" s="34" t="s">
        <v>1332</v>
      </c>
      <c r="E102" s="34" t="s">
        <v>1333</v>
      </c>
      <c r="F102" s="32" t="s">
        <v>418</v>
      </c>
      <c r="G102" s="32" t="s">
        <v>6</v>
      </c>
      <c r="H102" s="40">
        <v>6.24</v>
      </c>
      <c r="I102" s="37" t="s">
        <v>501</v>
      </c>
      <c r="J102" s="35">
        <f>VLOOKUP(B102,'[1]remainderlist'!$B$1:$I$1139,8,FALSE)</f>
        <v>624</v>
      </c>
      <c r="K102" s="33" t="s">
        <v>807</v>
      </c>
      <c r="L102" s="32">
        <v>20</v>
      </c>
      <c r="M102" s="32" t="str">
        <f>"9781927958100"</f>
        <v>9781927958100</v>
      </c>
      <c r="N102" s="36">
        <v>24.95</v>
      </c>
      <c r="O102" s="20" t="s">
        <v>506</v>
      </c>
      <c r="P102" s="19"/>
      <c r="Q102" s="19"/>
    </row>
    <row r="103" spans="1:17" ht="29.5" customHeight="1">
      <c r="A103" s="32"/>
      <c r="B103" s="56" t="str">
        <f>"0201452108294"</f>
        <v>0201452108294</v>
      </c>
      <c r="C103" s="33" t="s">
        <v>1377</v>
      </c>
      <c r="D103" s="34" t="s">
        <v>701</v>
      </c>
      <c r="E103" s="34" t="s">
        <v>702</v>
      </c>
      <c r="F103" s="32" t="s">
        <v>230</v>
      </c>
      <c r="G103" s="32" t="s">
        <v>8</v>
      </c>
      <c r="H103" s="40">
        <v>6.99</v>
      </c>
      <c r="I103" s="32"/>
      <c r="J103" s="35">
        <f>VLOOKUP(B103,'[1]remainderlist'!$B$1:$I$1139,8,FALSE)</f>
        <v>368</v>
      </c>
      <c r="K103" s="33" t="s">
        <v>647</v>
      </c>
      <c r="L103" s="32">
        <v>24</v>
      </c>
      <c r="M103" s="32" t="str">
        <f>"9781452108292"</f>
        <v>9781452108292</v>
      </c>
      <c r="N103" s="36">
        <v>35.95</v>
      </c>
      <c r="O103" s="20" t="s">
        <v>506</v>
      </c>
      <c r="P103" s="19"/>
      <c r="Q103" s="19"/>
    </row>
    <row r="104" spans="1:17" ht="29.5" customHeight="1">
      <c r="A104" s="32"/>
      <c r="B104" s="56" t="str">
        <f>"0201784880554"</f>
        <v>0201784880554</v>
      </c>
      <c r="C104" s="33" t="s">
        <v>1345</v>
      </c>
      <c r="D104" s="34" t="s">
        <v>1239</v>
      </c>
      <c r="E104" s="34" t="s">
        <v>1240</v>
      </c>
      <c r="F104" s="32" t="s">
        <v>394</v>
      </c>
      <c r="G104" s="32" t="s">
        <v>8</v>
      </c>
      <c r="H104" s="40">
        <v>7.99</v>
      </c>
      <c r="I104" s="32"/>
      <c r="J104" s="35">
        <f>VLOOKUP(B104,'[1]remainderlist'!$B$1:$I$1139,8,FALSE)</f>
        <v>720</v>
      </c>
      <c r="K104" s="33" t="s">
        <v>986</v>
      </c>
      <c r="L104" s="32">
        <v>20</v>
      </c>
      <c r="M104" s="32" t="str">
        <f>"9781784880552"</f>
        <v>9781784880552</v>
      </c>
      <c r="N104" s="36">
        <v>35.99</v>
      </c>
      <c r="O104" s="20" t="s">
        <v>506</v>
      </c>
      <c r="P104" s="19"/>
      <c r="Q104" s="19"/>
    </row>
    <row r="105" spans="1:17" ht="29.5" customHeight="1">
      <c r="A105" s="32"/>
      <c r="B105" s="56" t="str">
        <f>"0201743792089"</f>
        <v>0201743792089</v>
      </c>
      <c r="C105" s="33" t="s">
        <v>1345</v>
      </c>
      <c r="D105" s="34" t="s">
        <v>1219</v>
      </c>
      <c r="E105" s="34" t="s">
        <v>1220</v>
      </c>
      <c r="F105" s="32" t="s">
        <v>364</v>
      </c>
      <c r="G105" s="32" t="s">
        <v>8</v>
      </c>
      <c r="H105" s="40">
        <v>5.99</v>
      </c>
      <c r="I105" s="32"/>
      <c r="J105" s="35">
        <f>VLOOKUP(B105,'[1]remainderlist'!$B$1:$I$1139,8,FALSE)</f>
        <v>100</v>
      </c>
      <c r="K105" s="33" t="s">
        <v>1221</v>
      </c>
      <c r="L105" s="32">
        <v>20</v>
      </c>
      <c r="M105" s="32" t="str">
        <f>"9781743792087"</f>
        <v>9781743792087</v>
      </c>
      <c r="N105" s="36">
        <v>27.99</v>
      </c>
      <c r="O105" s="20" t="s">
        <v>506</v>
      </c>
      <c r="P105" s="19"/>
      <c r="Q105" s="19"/>
    </row>
    <row r="106" spans="1:17" ht="29.5" customHeight="1">
      <c r="A106" s="32"/>
      <c r="B106" s="56" t="str">
        <f>"0201742709361"</f>
        <v>0201742709361</v>
      </c>
      <c r="C106" s="33" t="s">
        <v>1345</v>
      </c>
      <c r="D106" s="34" t="s">
        <v>1222</v>
      </c>
      <c r="E106" s="34" t="s">
        <v>1223</v>
      </c>
      <c r="F106" s="32" t="s">
        <v>350</v>
      </c>
      <c r="G106" s="32" t="s">
        <v>6</v>
      </c>
      <c r="H106" s="40">
        <v>7.99</v>
      </c>
      <c r="I106" s="32"/>
      <c r="J106" s="35">
        <f>VLOOKUP(B106,'[1]remainderlist'!$B$1:$I$1139,8,FALSE)</f>
        <v>139</v>
      </c>
      <c r="K106" s="33" t="s">
        <v>807</v>
      </c>
      <c r="L106" s="32">
        <v>12</v>
      </c>
      <c r="M106" s="32" t="str">
        <f>"9781742709369"</f>
        <v>9781742709369</v>
      </c>
      <c r="N106" s="36">
        <v>41.95</v>
      </c>
      <c r="O106" s="20" t="s">
        <v>506</v>
      </c>
      <c r="P106" s="19"/>
      <c r="Q106" s="19"/>
    </row>
    <row r="107" spans="1:17" ht="29.5" customHeight="1">
      <c r="A107" s="32"/>
      <c r="B107" s="56" t="str">
        <f>"0201743218442"</f>
        <v>0201743218442</v>
      </c>
      <c r="C107" s="33" t="s">
        <v>1342</v>
      </c>
      <c r="D107" s="34" t="s">
        <v>957</v>
      </c>
      <c r="E107" s="34" t="s">
        <v>958</v>
      </c>
      <c r="F107" s="32" t="s">
        <v>352</v>
      </c>
      <c r="G107" s="32" t="s">
        <v>6</v>
      </c>
      <c r="H107" s="40">
        <v>4.99</v>
      </c>
      <c r="I107" s="32"/>
      <c r="J107" s="35">
        <f>VLOOKUP(B107,'[1]remainderlist'!$B$1:$I$1139,8,FALSE)</f>
        <v>447</v>
      </c>
      <c r="K107" s="33" t="s">
        <v>647</v>
      </c>
      <c r="L107" s="32">
        <v>32</v>
      </c>
      <c r="M107" s="32" t="str">
        <f>"9781743218440"</f>
        <v>9781743218440</v>
      </c>
      <c r="N107" s="36">
        <v>22.5</v>
      </c>
      <c r="O107" s="20" t="s">
        <v>506</v>
      </c>
      <c r="P107" s="19"/>
      <c r="Q107" s="19"/>
    </row>
    <row r="108" spans="1:17" ht="29.5" customHeight="1">
      <c r="A108" s="32"/>
      <c r="B108" s="56" t="str">
        <f>"0221452119632"</f>
        <v>0221452119632</v>
      </c>
      <c r="C108" s="33" t="s">
        <v>1377</v>
      </c>
      <c r="D108" s="34" t="s">
        <v>641</v>
      </c>
      <c r="E108" s="34" t="s">
        <v>642</v>
      </c>
      <c r="F108" s="32" t="s">
        <v>493</v>
      </c>
      <c r="G108" s="32" t="s">
        <v>8</v>
      </c>
      <c r="H108" s="40">
        <v>7.99</v>
      </c>
      <c r="I108" s="32"/>
      <c r="J108" s="35">
        <f>VLOOKUP(B108,'[1]remainderlist'!$B$1:$I$1139,8,FALSE)</f>
        <v>220</v>
      </c>
      <c r="K108" s="33" t="s">
        <v>643</v>
      </c>
      <c r="L108" s="32">
        <v>14</v>
      </c>
      <c r="M108" s="32" t="str">
        <f>"9781452119632"</f>
        <v>9781452119632</v>
      </c>
      <c r="N108" s="36">
        <v>38.95</v>
      </c>
      <c r="O108" s="20" t="s">
        <v>506</v>
      </c>
      <c r="P108" s="19"/>
      <c r="Q108" s="19"/>
    </row>
    <row r="109" spans="1:17" ht="29.5" customHeight="1">
      <c r="A109" s="32"/>
      <c r="B109" s="56" t="str">
        <f>"0201452112215"</f>
        <v>0201452112215</v>
      </c>
      <c r="C109" s="33" t="s">
        <v>1377</v>
      </c>
      <c r="D109" s="34" t="s">
        <v>909</v>
      </c>
      <c r="E109" s="34" t="s">
        <v>910</v>
      </c>
      <c r="F109" s="32" t="s">
        <v>239</v>
      </c>
      <c r="G109" s="32" t="s">
        <v>8</v>
      </c>
      <c r="H109" s="40">
        <v>4.99</v>
      </c>
      <c r="I109" s="32"/>
      <c r="J109" s="35">
        <f>VLOOKUP(B109,'[1]remainderlist'!$B$1:$I$1139,8,FALSE)</f>
        <v>99</v>
      </c>
      <c r="K109" s="33" t="s">
        <v>807</v>
      </c>
      <c r="L109" s="32">
        <v>20</v>
      </c>
      <c r="M109" s="32" t="str">
        <f>"9781452112213"</f>
        <v>9781452112213</v>
      </c>
      <c r="N109" s="36">
        <v>26.95</v>
      </c>
      <c r="O109" s="20" t="s">
        <v>506</v>
      </c>
      <c r="P109" s="19"/>
      <c r="Q109" s="19"/>
    </row>
    <row r="110" spans="1:17" ht="29.5" customHeight="1">
      <c r="A110" s="32"/>
      <c r="B110" s="56" t="str">
        <f>"0201452142878"</f>
        <v>0201452142878</v>
      </c>
      <c r="C110" s="33" t="s">
        <v>1377</v>
      </c>
      <c r="D110" s="34" t="s">
        <v>1172</v>
      </c>
      <c r="E110" s="34" t="s">
        <v>1173</v>
      </c>
      <c r="F110" s="32" t="s">
        <v>305</v>
      </c>
      <c r="G110" s="32" t="s">
        <v>8</v>
      </c>
      <c r="H110" s="40">
        <v>3.99</v>
      </c>
      <c r="I110" s="32"/>
      <c r="J110" s="35">
        <f>VLOOKUP(B110,'[1]remainderlist'!$B$1:$I$1139,8,FALSE)</f>
        <v>92</v>
      </c>
      <c r="K110" s="33" t="s">
        <v>986</v>
      </c>
      <c r="L110" s="32">
        <v>48</v>
      </c>
      <c r="M110" s="32" t="str">
        <f>"9781452142876"</f>
        <v>9781452142876</v>
      </c>
      <c r="N110" s="36">
        <v>20.95</v>
      </c>
      <c r="O110" s="20" t="s">
        <v>506</v>
      </c>
      <c r="P110" s="19"/>
      <c r="Q110" s="19"/>
    </row>
    <row r="111" spans="1:17" ht="29.5" customHeight="1">
      <c r="A111" s="32"/>
      <c r="B111" s="56" t="str">
        <f>"0201452104692"</f>
        <v>0201452104692</v>
      </c>
      <c r="C111" s="33" t="s">
        <v>1377</v>
      </c>
      <c r="D111" s="34" t="s">
        <v>689</v>
      </c>
      <c r="E111" s="34" t="s">
        <v>690</v>
      </c>
      <c r="F111" s="32" t="s">
        <v>225</v>
      </c>
      <c r="G111" s="32" t="s">
        <v>8</v>
      </c>
      <c r="H111" s="40">
        <v>9.99</v>
      </c>
      <c r="I111" s="32"/>
      <c r="J111" s="35">
        <f>VLOOKUP(B111,'[1]remainderlist'!$B$1:$I$1139,8,FALSE)</f>
        <v>390</v>
      </c>
      <c r="K111" s="33" t="s">
        <v>647</v>
      </c>
      <c r="L111" s="32">
        <v>12</v>
      </c>
      <c r="M111" s="32" t="str">
        <f>"9781452104690"</f>
        <v>9781452104690</v>
      </c>
      <c r="N111" s="36">
        <v>50</v>
      </c>
      <c r="O111" s="20" t="s">
        <v>506</v>
      </c>
      <c r="P111" s="19"/>
      <c r="Q111" s="19"/>
    </row>
    <row r="112" spans="1:17" ht="29.5" customHeight="1">
      <c r="A112" s="32"/>
      <c r="B112" s="56" t="str">
        <f>"0201452123686"</f>
        <v>0201452123686</v>
      </c>
      <c r="C112" s="33" t="s">
        <v>1377</v>
      </c>
      <c r="D112" s="34" t="s">
        <v>705</v>
      </c>
      <c r="E112" s="34" t="s">
        <v>706</v>
      </c>
      <c r="F112" s="32" t="s">
        <v>254</v>
      </c>
      <c r="G112" s="32" t="s">
        <v>6</v>
      </c>
      <c r="H112" s="40">
        <v>6.99</v>
      </c>
      <c r="I112" s="32"/>
      <c r="J112" s="35">
        <f>VLOOKUP(B112,'[1]remainderlist'!$B$1:$I$1139,8,FALSE)</f>
        <v>84</v>
      </c>
      <c r="K112" s="33" t="s">
        <v>643</v>
      </c>
      <c r="L112" s="32">
        <v>24</v>
      </c>
      <c r="M112" s="32" t="str">
        <f>"9781452123684"</f>
        <v>9781452123684</v>
      </c>
      <c r="N112" s="36">
        <v>35.95</v>
      </c>
      <c r="O112" s="20" t="s">
        <v>506</v>
      </c>
      <c r="P112" s="19"/>
      <c r="Q112" s="19"/>
    </row>
    <row r="113" spans="1:17" ht="29.5" customHeight="1">
      <c r="A113" s="32"/>
      <c r="B113" s="56" t="str">
        <f>"0201452134798"</f>
        <v>0201452134798</v>
      </c>
      <c r="C113" s="33" t="s">
        <v>1377</v>
      </c>
      <c r="D113" s="34" t="s">
        <v>989</v>
      </c>
      <c r="E113" s="34" t="s">
        <v>990</v>
      </c>
      <c r="F113" s="32" t="s">
        <v>279</v>
      </c>
      <c r="G113" s="32" t="s">
        <v>8</v>
      </c>
      <c r="H113" s="40">
        <v>5.99</v>
      </c>
      <c r="I113" s="32"/>
      <c r="J113" s="35">
        <f>VLOOKUP(B113,'[1]remainderlist'!$B$1:$I$1139,8,FALSE)</f>
        <v>389</v>
      </c>
      <c r="K113" s="33" t="s">
        <v>868</v>
      </c>
      <c r="L113" s="32">
        <v>18</v>
      </c>
      <c r="M113" s="32" t="str">
        <f>"9781452134796"</f>
        <v>9781452134796</v>
      </c>
      <c r="N113" s="36">
        <v>27.95</v>
      </c>
      <c r="O113" s="20" t="s">
        <v>506</v>
      </c>
      <c r="P113" s="19"/>
      <c r="Q113" s="19"/>
    </row>
    <row r="114" spans="1:17" ht="29.5" customHeight="1">
      <c r="A114" s="32"/>
      <c r="B114" s="56" t="str">
        <f>"0221452118185"</f>
        <v>0221452118185</v>
      </c>
      <c r="C114" s="33" t="s">
        <v>1377</v>
      </c>
      <c r="D114" s="34" t="s">
        <v>632</v>
      </c>
      <c r="E114" s="34" t="s">
        <v>506</v>
      </c>
      <c r="F114" s="32" t="s">
        <v>492</v>
      </c>
      <c r="G114" s="32" t="s">
        <v>8</v>
      </c>
      <c r="H114" s="40">
        <v>4.99</v>
      </c>
      <c r="I114" s="32"/>
      <c r="J114" s="35">
        <f>VLOOKUP(B114,'[1]remainderlist'!$B$1:$I$1139,8,FALSE)</f>
        <v>79</v>
      </c>
      <c r="K114" s="33" t="s">
        <v>615</v>
      </c>
      <c r="L114" s="32">
        <v>24</v>
      </c>
      <c r="M114" s="32" t="str">
        <f>"9781452118185"</f>
        <v>9781452118185</v>
      </c>
      <c r="N114" s="36">
        <v>26.95</v>
      </c>
      <c r="O114" s="20" t="s">
        <v>506</v>
      </c>
      <c r="P114" s="19"/>
      <c r="Q114" s="19"/>
    </row>
    <row r="115" spans="1:17" ht="29.5" customHeight="1">
      <c r="A115" s="32"/>
      <c r="B115" s="56" t="str">
        <f>"0201849499165"</f>
        <v>0201849499165</v>
      </c>
      <c r="C115" s="33" t="s">
        <v>1344</v>
      </c>
      <c r="D115" s="34" t="s">
        <v>1291</v>
      </c>
      <c r="E115" s="34" t="s">
        <v>1292</v>
      </c>
      <c r="F115" s="32" t="s">
        <v>415</v>
      </c>
      <c r="G115" s="32" t="s">
        <v>8</v>
      </c>
      <c r="H115" s="40">
        <v>8.75</v>
      </c>
      <c r="I115" s="37" t="s">
        <v>501</v>
      </c>
      <c r="J115" s="35">
        <f>VLOOKUP(B115,'[1]remainderlist'!$B$1:$I$1139,8,FALSE)</f>
        <v>240</v>
      </c>
      <c r="K115" s="33" t="s">
        <v>1221</v>
      </c>
      <c r="L115" s="32">
        <v>20</v>
      </c>
      <c r="M115" s="32" t="str">
        <f>"9781849499163"</f>
        <v>9781849499163</v>
      </c>
      <c r="N115" s="36">
        <v>34.99</v>
      </c>
      <c r="O115" s="20" t="s">
        <v>506</v>
      </c>
      <c r="P115" s="19"/>
      <c r="Q115" s="19"/>
    </row>
    <row r="116" spans="1:17" ht="29.5" customHeight="1">
      <c r="A116" s="32"/>
      <c r="B116" s="56" t="str">
        <f>"0201849497154"</f>
        <v>0201849497154</v>
      </c>
      <c r="C116" s="33" t="s">
        <v>1344</v>
      </c>
      <c r="D116" s="34" t="s">
        <v>1299</v>
      </c>
      <c r="E116" s="34" t="s">
        <v>506</v>
      </c>
      <c r="F116" s="32" t="s">
        <v>404</v>
      </c>
      <c r="G116" s="32" t="s">
        <v>8</v>
      </c>
      <c r="H116" s="40">
        <v>12.5</v>
      </c>
      <c r="I116" s="37" t="s">
        <v>501</v>
      </c>
      <c r="J116" s="35">
        <f>VLOOKUP(B116,'[1]remainderlist'!$B$1:$I$1139,8,FALSE)</f>
        <v>792</v>
      </c>
      <c r="K116" s="33" t="s">
        <v>1221</v>
      </c>
      <c r="L116" s="32">
        <v>12</v>
      </c>
      <c r="M116" s="32" t="str">
        <f>"9781849497152"</f>
        <v>9781849497152</v>
      </c>
      <c r="N116" s="36">
        <v>50</v>
      </c>
      <c r="O116" s="20" t="s">
        <v>506</v>
      </c>
      <c r="P116" s="19"/>
      <c r="Q116" s="19"/>
    </row>
    <row r="117" spans="1:17" ht="29.5" customHeight="1">
      <c r="A117" s="32"/>
      <c r="B117" s="56" t="str">
        <f>"0201452139984"</f>
        <v>0201452139984</v>
      </c>
      <c r="C117" s="33" t="s">
        <v>1377</v>
      </c>
      <c r="D117" s="34" t="s">
        <v>1178</v>
      </c>
      <c r="E117" s="34" t="s">
        <v>1179</v>
      </c>
      <c r="F117" s="32" t="s">
        <v>294</v>
      </c>
      <c r="G117" s="32" t="s">
        <v>6</v>
      </c>
      <c r="H117" s="40">
        <v>5.99</v>
      </c>
      <c r="I117" s="32"/>
      <c r="J117" s="35">
        <f>VLOOKUP(B117,'[1]remainderlist'!$B$1:$I$1139,8,FALSE)</f>
        <v>102</v>
      </c>
      <c r="K117" s="33" t="s">
        <v>905</v>
      </c>
      <c r="L117" s="32">
        <v>18</v>
      </c>
      <c r="M117" s="32" t="str">
        <f>"9781452139982"</f>
        <v>9781452139982</v>
      </c>
      <c r="N117" s="36">
        <v>32.95</v>
      </c>
      <c r="O117" s="20" t="s">
        <v>506</v>
      </c>
      <c r="P117" s="19"/>
      <c r="Q117" s="19"/>
    </row>
    <row r="118" spans="1:17" ht="29.5" customHeight="1">
      <c r="A118" s="32"/>
      <c r="B118" s="56" t="str">
        <f>"0201452131599"</f>
        <v>0201452131599</v>
      </c>
      <c r="C118" s="33" t="s">
        <v>1377</v>
      </c>
      <c r="D118" s="34" t="s">
        <v>758</v>
      </c>
      <c r="E118" s="34" t="s">
        <v>759</v>
      </c>
      <c r="F118" s="32" t="s">
        <v>274</v>
      </c>
      <c r="G118" s="32" t="s">
        <v>6</v>
      </c>
      <c r="H118" s="40">
        <v>5.99</v>
      </c>
      <c r="I118" s="32"/>
      <c r="J118" s="35">
        <f>VLOOKUP(B118,'[1]remainderlist'!$B$1:$I$1139,8,FALSE)</f>
        <v>276</v>
      </c>
      <c r="K118" s="33" t="s">
        <v>509</v>
      </c>
      <c r="L118" s="32">
        <v>24</v>
      </c>
      <c r="M118" s="32" t="str">
        <f>"9781452131597"</f>
        <v>9781452131597</v>
      </c>
      <c r="N118" s="36">
        <v>27.95</v>
      </c>
      <c r="O118" s="20" t="s">
        <v>506</v>
      </c>
      <c r="P118" s="19"/>
      <c r="Q118" s="19"/>
    </row>
    <row r="119" spans="1:17" ht="29.5" customHeight="1">
      <c r="A119" s="32"/>
      <c r="B119" s="56" t="str">
        <f>"0201849496614"</f>
        <v>0201849496614</v>
      </c>
      <c r="C119" s="33" t="s">
        <v>1344</v>
      </c>
      <c r="D119" s="34" t="s">
        <v>1232</v>
      </c>
      <c r="E119" s="34" t="s">
        <v>1233</v>
      </c>
      <c r="F119" s="32" t="s">
        <v>403</v>
      </c>
      <c r="G119" s="32" t="s">
        <v>8</v>
      </c>
      <c r="H119" s="40">
        <v>7.99</v>
      </c>
      <c r="I119" s="32"/>
      <c r="J119" s="35">
        <f>VLOOKUP(B119,'[1]remainderlist'!$B$1:$I$1139,8,FALSE)</f>
        <v>252</v>
      </c>
      <c r="K119" s="33" t="s">
        <v>868</v>
      </c>
      <c r="L119" s="32">
        <v>18</v>
      </c>
      <c r="M119" s="32" t="str">
        <f>"9781849496612"</f>
        <v>9781849496612</v>
      </c>
      <c r="N119" s="36">
        <v>35.95</v>
      </c>
      <c r="O119" s="20" t="s">
        <v>506</v>
      </c>
      <c r="P119" s="19"/>
      <c r="Q119" s="19"/>
    </row>
    <row r="120" spans="1:17" ht="29.5" customHeight="1">
      <c r="A120" s="32"/>
      <c r="B120" s="56" t="str">
        <f>"0201452149082"</f>
        <v>0201452149082</v>
      </c>
      <c r="C120" s="33" t="s">
        <v>1377</v>
      </c>
      <c r="D120" s="34" t="s">
        <v>979</v>
      </c>
      <c r="E120" s="34" t="s">
        <v>980</v>
      </c>
      <c r="F120" s="32" t="s">
        <v>313</v>
      </c>
      <c r="G120" s="32" t="s">
        <v>8</v>
      </c>
      <c r="H120" s="40">
        <v>4.99</v>
      </c>
      <c r="I120" s="32"/>
      <c r="J120" s="35">
        <f>VLOOKUP(B120,'[1]remainderlist'!$B$1:$I$1139,8,FALSE)</f>
        <v>95</v>
      </c>
      <c r="K120" s="33" t="s">
        <v>868</v>
      </c>
      <c r="L120" s="32">
        <v>40</v>
      </c>
      <c r="M120" s="32" t="str">
        <f>"9781452149080"</f>
        <v>9781452149080</v>
      </c>
      <c r="N120" s="36">
        <v>23.95</v>
      </c>
      <c r="O120" s="20" t="s">
        <v>506</v>
      </c>
      <c r="P120" s="19"/>
      <c r="Q120" s="19"/>
    </row>
    <row r="121" spans="1:17" ht="29.5" customHeight="1">
      <c r="A121" s="32"/>
      <c r="B121" s="56" t="str">
        <f>"0201452141161"</f>
        <v>0201452141161</v>
      </c>
      <c r="C121" s="33" t="s">
        <v>1377</v>
      </c>
      <c r="D121" s="34" t="s">
        <v>883</v>
      </c>
      <c r="E121" s="34" t="s">
        <v>884</v>
      </c>
      <c r="F121" s="32"/>
      <c r="G121" s="32" t="s">
        <v>8</v>
      </c>
      <c r="H121" s="40">
        <v>3.99</v>
      </c>
      <c r="I121" s="32"/>
      <c r="J121" s="35">
        <f>VLOOKUP(B121,'[1]remainderlist'!$B$1:$I$1139,8,FALSE)</f>
        <v>204</v>
      </c>
      <c r="K121" s="33" t="s">
        <v>807</v>
      </c>
      <c r="L121" s="32">
        <v>60</v>
      </c>
      <c r="M121" s="32" t="str">
        <f>"9781452141169"</f>
        <v>9781452141169</v>
      </c>
      <c r="N121" s="36">
        <v>20.95</v>
      </c>
      <c r="O121" s="20" t="s">
        <v>506</v>
      </c>
      <c r="P121" s="19"/>
      <c r="Q121" s="19"/>
    </row>
    <row r="122" spans="1:17" s="10" customFormat="1" ht="15">
      <c r="A122" s="45"/>
      <c r="B122" s="52" t="s">
        <v>1360</v>
      </c>
      <c r="C122" s="6"/>
      <c r="D122" s="6"/>
      <c r="E122" s="6"/>
      <c r="F122" s="7"/>
      <c r="G122" s="7"/>
      <c r="H122" s="44"/>
      <c r="I122" s="8"/>
      <c r="J122" s="7"/>
      <c r="K122" s="6"/>
      <c r="L122" s="7"/>
      <c r="M122" s="9"/>
      <c r="N122" s="25"/>
      <c r="O122" s="11"/>
      <c r="P122" s="30"/>
      <c r="Q122" s="30"/>
    </row>
    <row r="123" spans="1:17" ht="29.5" customHeight="1">
      <c r="A123" s="32"/>
      <c r="B123" s="56" t="str">
        <f>"0201452111126"</f>
        <v>0201452111126</v>
      </c>
      <c r="C123" s="33" t="s">
        <v>1377</v>
      </c>
      <c r="D123" s="34" t="s">
        <v>911</v>
      </c>
      <c r="E123" s="34" t="s">
        <v>912</v>
      </c>
      <c r="F123" s="32" t="s">
        <v>235</v>
      </c>
      <c r="G123" s="32" t="s">
        <v>234</v>
      </c>
      <c r="H123" s="40">
        <v>5.99</v>
      </c>
      <c r="I123" s="32"/>
      <c r="J123" s="35">
        <f>VLOOKUP(B123,'[1]remainderlist'!$B$1:$I$1139,8,FALSE)</f>
        <v>119</v>
      </c>
      <c r="K123" s="33" t="s">
        <v>807</v>
      </c>
      <c r="L123" s="32">
        <v>20</v>
      </c>
      <c r="M123" s="32" t="str">
        <f>"9781452111124"</f>
        <v>9781452111124</v>
      </c>
      <c r="N123" s="36">
        <v>27.95</v>
      </c>
      <c r="O123" s="20" t="s">
        <v>506</v>
      </c>
      <c r="P123" s="19"/>
      <c r="Q123" s="19"/>
    </row>
    <row r="124" spans="1:17" ht="29.5" customHeight="1">
      <c r="A124" s="32"/>
      <c r="B124" s="56" t="str">
        <f>"0201452134477"</f>
        <v>0201452134477</v>
      </c>
      <c r="C124" s="33" t="s">
        <v>1377</v>
      </c>
      <c r="D124" s="34" t="s">
        <v>1192</v>
      </c>
      <c r="E124" s="34" t="s">
        <v>1193</v>
      </c>
      <c r="F124" s="32" t="s">
        <v>235</v>
      </c>
      <c r="G124" s="32" t="s">
        <v>8</v>
      </c>
      <c r="H124" s="40">
        <v>7.99</v>
      </c>
      <c r="I124" s="32"/>
      <c r="J124" s="35">
        <f>VLOOKUP(B124,'[1]remainderlist'!$B$1:$I$1139,8,FALSE)</f>
        <v>220</v>
      </c>
      <c r="K124" s="33" t="s">
        <v>905</v>
      </c>
      <c r="L124" s="32">
        <v>16</v>
      </c>
      <c r="M124" s="32" t="str">
        <f>"9781452134475"</f>
        <v>9781452134475</v>
      </c>
      <c r="N124" s="36">
        <v>42.95</v>
      </c>
      <c r="O124" s="20" t="s">
        <v>506</v>
      </c>
      <c r="P124" s="19"/>
      <c r="Q124" s="19"/>
    </row>
    <row r="125" spans="1:17" ht="29.5" customHeight="1">
      <c r="A125" s="32"/>
      <c r="B125" s="56" t="str">
        <f>"0201741174894"</f>
        <v>0201741174894</v>
      </c>
      <c r="C125" s="33" t="s">
        <v>1345</v>
      </c>
      <c r="D125" s="34" t="s">
        <v>1215</v>
      </c>
      <c r="E125" s="34" t="s">
        <v>1216</v>
      </c>
      <c r="F125" s="32" t="s">
        <v>346</v>
      </c>
      <c r="G125" s="32" t="s">
        <v>8</v>
      </c>
      <c r="H125" s="40">
        <v>5.99</v>
      </c>
      <c r="I125" s="32"/>
      <c r="J125" s="35">
        <f>VLOOKUP(B125,'[1]remainderlist'!$B$1:$I$1139,8,FALSE)</f>
        <v>120</v>
      </c>
      <c r="K125" s="33" t="s">
        <v>986</v>
      </c>
      <c r="L125" s="32">
        <v>20</v>
      </c>
      <c r="M125" s="32" t="str">
        <f>"9781741174892"</f>
        <v>9781741174892</v>
      </c>
      <c r="N125" s="36">
        <v>27.99</v>
      </c>
      <c r="O125" s="20" t="s">
        <v>506</v>
      </c>
      <c r="P125" s="19"/>
      <c r="Q125" s="19"/>
    </row>
    <row r="126" spans="1:17" ht="29.5" customHeight="1">
      <c r="A126" s="32"/>
      <c r="B126" s="56" t="str">
        <f>"0201780674720"</f>
        <v>0201780674720</v>
      </c>
      <c r="C126" s="33" t="s">
        <v>1343</v>
      </c>
      <c r="D126" s="34" t="s">
        <v>1015</v>
      </c>
      <c r="E126" s="34" t="s">
        <v>1016</v>
      </c>
      <c r="F126" s="32" t="s">
        <v>377</v>
      </c>
      <c r="G126" s="32" t="s">
        <v>8</v>
      </c>
      <c r="H126" s="40">
        <v>11.99</v>
      </c>
      <c r="I126" s="32"/>
      <c r="J126" s="35">
        <f>VLOOKUP(B126,'[1]remainderlist'!$B$1:$I$1139,8,FALSE)</f>
        <v>48</v>
      </c>
      <c r="K126" s="33" t="s">
        <v>807</v>
      </c>
      <c r="L126" s="32">
        <v>12</v>
      </c>
      <c r="M126" s="32" t="str">
        <f>"9781780674728"</f>
        <v>9781780674728</v>
      </c>
      <c r="N126" s="36">
        <v>57</v>
      </c>
      <c r="O126" s="20" t="s">
        <v>506</v>
      </c>
      <c r="P126" s="19"/>
      <c r="Q126" s="19"/>
    </row>
    <row r="127" spans="1:17" ht="29.5" customHeight="1">
      <c r="A127" s="32"/>
      <c r="B127" s="56" t="str">
        <f>"0201423634906"</f>
        <v>0201423634906</v>
      </c>
      <c r="C127" s="33" t="s">
        <v>766</v>
      </c>
      <c r="D127" s="34" t="s">
        <v>796</v>
      </c>
      <c r="E127" s="34" t="s">
        <v>797</v>
      </c>
      <c r="F127" s="32" t="s">
        <v>196</v>
      </c>
      <c r="G127" s="32" t="s">
        <v>8</v>
      </c>
      <c r="H127" s="40">
        <v>7.99</v>
      </c>
      <c r="I127" s="32"/>
      <c r="J127" s="35">
        <f>VLOOKUP(B127,'[1]remainderlist'!$B$1:$I$1139,8,FALSE)</f>
        <v>78</v>
      </c>
      <c r="K127" s="33" t="s">
        <v>643</v>
      </c>
      <c r="L127" s="32">
        <v>18</v>
      </c>
      <c r="M127" s="32" t="str">
        <f>"9781423634904"</f>
        <v>9781423634904</v>
      </c>
      <c r="N127" s="36">
        <v>41.99</v>
      </c>
      <c r="O127" s="20" t="s">
        <v>506</v>
      </c>
      <c r="P127" s="19"/>
      <c r="Q127" s="19"/>
    </row>
    <row r="128" spans="1:17" ht="29.5" customHeight="1">
      <c r="A128" s="32"/>
      <c r="B128" s="56" t="str">
        <f>"0201741175082"</f>
        <v>0201741175082</v>
      </c>
      <c r="C128" s="33" t="s">
        <v>1345</v>
      </c>
      <c r="D128" s="34" t="s">
        <v>1269</v>
      </c>
      <c r="E128" s="34" t="s">
        <v>1270</v>
      </c>
      <c r="F128" s="32" t="s">
        <v>347</v>
      </c>
      <c r="G128" s="32" t="s">
        <v>6</v>
      </c>
      <c r="H128" s="40">
        <v>9</v>
      </c>
      <c r="I128" s="37" t="s">
        <v>501</v>
      </c>
      <c r="J128" s="35">
        <f>VLOOKUP(B128,'[1]remainderlist'!$B$1:$I$1139,8,FALSE)</f>
        <v>80</v>
      </c>
      <c r="K128" s="33" t="s">
        <v>986</v>
      </c>
      <c r="L128" s="32">
        <v>20</v>
      </c>
      <c r="M128" s="32" t="str">
        <f>"9781741175080"</f>
        <v>9781741175080</v>
      </c>
      <c r="N128" s="36">
        <v>35.99</v>
      </c>
      <c r="O128" s="20" t="s">
        <v>506</v>
      </c>
      <c r="P128" s="19"/>
      <c r="Q128" s="19"/>
    </row>
    <row r="129" spans="1:17" ht="29.5" customHeight="1">
      <c r="A129" s="32"/>
      <c r="B129" s="56" t="str">
        <f>"0201423633237"</f>
        <v>0201423633237</v>
      </c>
      <c r="C129" s="33" t="s">
        <v>766</v>
      </c>
      <c r="D129" s="34" t="s">
        <v>791</v>
      </c>
      <c r="E129" s="34" t="s">
        <v>792</v>
      </c>
      <c r="F129" s="32" t="s">
        <v>191</v>
      </c>
      <c r="G129" s="32" t="s">
        <v>6</v>
      </c>
      <c r="H129" s="40">
        <v>5</v>
      </c>
      <c r="I129" s="32"/>
      <c r="J129" s="35">
        <f>VLOOKUP(B129,'[1]remainderlist'!$B$1:$I$1139,8,FALSE)</f>
        <v>60</v>
      </c>
      <c r="K129" s="33" t="s">
        <v>643</v>
      </c>
      <c r="L129" s="32">
        <v>24</v>
      </c>
      <c r="M129" s="32" t="str">
        <f>"9781423633235"</f>
        <v>9781423633235</v>
      </c>
      <c r="N129" s="36">
        <v>27.99</v>
      </c>
      <c r="O129" s="20" t="s">
        <v>506</v>
      </c>
      <c r="P129" s="19"/>
      <c r="Q129" s="19"/>
    </row>
    <row r="130" spans="1:17" ht="29.5" customHeight="1">
      <c r="A130" s="32"/>
      <c r="B130" s="56" t="str">
        <f>"0201743791389"</f>
        <v>0201743791389</v>
      </c>
      <c r="C130" s="33" t="s">
        <v>1345</v>
      </c>
      <c r="D130" s="34" t="s">
        <v>1271</v>
      </c>
      <c r="E130" s="34" t="s">
        <v>1272</v>
      </c>
      <c r="F130" s="32" t="s">
        <v>360</v>
      </c>
      <c r="G130" s="32" t="s">
        <v>8</v>
      </c>
      <c r="H130" s="40">
        <v>9</v>
      </c>
      <c r="I130" s="37" t="s">
        <v>501</v>
      </c>
      <c r="J130" s="35">
        <f>VLOOKUP(B130,'[1]remainderlist'!$B$1:$I$1139,8,FALSE)</f>
        <v>80</v>
      </c>
      <c r="K130" s="33" t="s">
        <v>986</v>
      </c>
      <c r="L130" s="32">
        <v>10</v>
      </c>
      <c r="M130" s="32" t="str">
        <f>"9781743791387"</f>
        <v>9781743791387</v>
      </c>
      <c r="N130" s="36">
        <v>35.99</v>
      </c>
      <c r="O130" s="20" t="s">
        <v>506</v>
      </c>
      <c r="P130" s="19"/>
      <c r="Q130" s="19"/>
    </row>
    <row r="131" spans="1:17" ht="29.5" customHeight="1">
      <c r="A131" s="32"/>
      <c r="B131" s="56" t="str">
        <f>"0201849497871"</f>
        <v>0201849497871</v>
      </c>
      <c r="C131" s="33" t="s">
        <v>1344</v>
      </c>
      <c r="D131" s="34" t="s">
        <v>1281</v>
      </c>
      <c r="E131" s="34" t="s">
        <v>1282</v>
      </c>
      <c r="F131" s="32" t="s">
        <v>409</v>
      </c>
      <c r="G131" s="32" t="s">
        <v>8</v>
      </c>
      <c r="H131" s="40">
        <v>7</v>
      </c>
      <c r="I131" s="37" t="s">
        <v>501</v>
      </c>
      <c r="J131" s="35">
        <f>VLOOKUP(B131,'[1]remainderlist'!$B$1:$I$1139,8,FALSE)</f>
        <v>154</v>
      </c>
      <c r="K131" s="33" t="s">
        <v>1221</v>
      </c>
      <c r="L131" s="32">
        <v>22</v>
      </c>
      <c r="M131" s="32" t="str">
        <f>"9781849497879"</f>
        <v>9781849497879</v>
      </c>
      <c r="N131" s="36">
        <v>27.99</v>
      </c>
      <c r="O131" s="20" t="s">
        <v>506</v>
      </c>
      <c r="P131" s="19"/>
      <c r="Q131" s="19"/>
    </row>
    <row r="132" spans="1:17" ht="29.5" customHeight="1">
      <c r="A132" s="32"/>
      <c r="B132" s="56" t="str">
        <f>"0201452129190"</f>
        <v>0201452129190</v>
      </c>
      <c r="C132" s="33" t="s">
        <v>1377</v>
      </c>
      <c r="D132" s="34" t="s">
        <v>881</v>
      </c>
      <c r="E132" s="34" t="s">
        <v>882</v>
      </c>
      <c r="F132" s="32" t="s">
        <v>270</v>
      </c>
      <c r="G132" s="32" t="s">
        <v>6</v>
      </c>
      <c r="H132" s="40">
        <v>3.99</v>
      </c>
      <c r="I132" s="32"/>
      <c r="J132" s="35">
        <f>VLOOKUP(B132,'[1]remainderlist'!$B$1:$I$1139,8,FALSE)</f>
        <v>149</v>
      </c>
      <c r="K132" s="33" t="s">
        <v>509</v>
      </c>
      <c r="L132" s="32">
        <v>40</v>
      </c>
      <c r="M132" s="32" t="str">
        <f>"9781452129198"</f>
        <v>9781452129198</v>
      </c>
      <c r="N132" s="36">
        <v>19.95</v>
      </c>
      <c r="O132" s="20" t="s">
        <v>506</v>
      </c>
      <c r="P132" s="19"/>
      <c r="Q132" s="19"/>
    </row>
    <row r="133" spans="1:17" ht="29.5" customHeight="1">
      <c r="A133" s="32"/>
      <c r="B133" s="56" t="str">
        <f>"0201452127967"</f>
        <v>0201452127967</v>
      </c>
      <c r="C133" s="33" t="s">
        <v>1377</v>
      </c>
      <c r="D133" s="34" t="s">
        <v>715</v>
      </c>
      <c r="E133" s="34" t="s">
        <v>716</v>
      </c>
      <c r="F133" s="32" t="s">
        <v>265</v>
      </c>
      <c r="G133" s="32" t="s">
        <v>8</v>
      </c>
      <c r="H133" s="40">
        <v>7.99</v>
      </c>
      <c r="I133" s="32"/>
      <c r="J133" s="35">
        <f>VLOOKUP(B133,'[1]remainderlist'!$B$1:$I$1139,8,FALSE)</f>
        <v>226</v>
      </c>
      <c r="K133" s="33" t="s">
        <v>509</v>
      </c>
      <c r="L133" s="32">
        <v>12</v>
      </c>
      <c r="M133" s="32" t="str">
        <f>"9781452127965"</f>
        <v>9781452127965</v>
      </c>
      <c r="N133" s="36">
        <v>42</v>
      </c>
      <c r="O133" s="20" t="s">
        <v>506</v>
      </c>
      <c r="P133" s="19"/>
      <c r="Q133" s="19"/>
    </row>
    <row r="134" spans="1:17" ht="29.5" customHeight="1">
      <c r="A134" s="32"/>
      <c r="B134" s="56" t="str">
        <f>"0201780671828"</f>
        <v>0201780671828</v>
      </c>
      <c r="C134" s="33" t="s">
        <v>1343</v>
      </c>
      <c r="D134" s="34" t="s">
        <v>1026</v>
      </c>
      <c r="E134" s="34" t="s">
        <v>1027</v>
      </c>
      <c r="F134" s="32" t="s">
        <v>367</v>
      </c>
      <c r="G134" s="32" t="s">
        <v>6</v>
      </c>
      <c r="H134" s="40">
        <v>5.99</v>
      </c>
      <c r="I134" s="32"/>
      <c r="J134" s="35">
        <f>VLOOKUP(B134,'[1]remainderlist'!$B$1:$I$1139,8,FALSE)</f>
        <v>153</v>
      </c>
      <c r="K134" s="33" t="s">
        <v>509</v>
      </c>
      <c r="L134" s="32">
        <v>40</v>
      </c>
      <c r="M134" s="32" t="str">
        <f>"9781780671826"</f>
        <v>9781780671826</v>
      </c>
      <c r="N134" s="36">
        <v>27.95</v>
      </c>
      <c r="O134" s="20" t="s">
        <v>506</v>
      </c>
      <c r="P134" s="19"/>
      <c r="Q134" s="19"/>
    </row>
    <row r="135" spans="1:17" ht="29.5" customHeight="1">
      <c r="A135" s="32"/>
      <c r="B135" s="56" t="str">
        <f>"0201452141864"</f>
        <v>0201452141864</v>
      </c>
      <c r="C135" s="33" t="s">
        <v>1377</v>
      </c>
      <c r="D135" s="34" t="s">
        <v>975</v>
      </c>
      <c r="E135" s="34" t="s">
        <v>976</v>
      </c>
      <c r="F135" s="32" t="s">
        <v>300</v>
      </c>
      <c r="G135" s="32" t="s">
        <v>6</v>
      </c>
      <c r="H135" s="40">
        <v>3.99</v>
      </c>
      <c r="I135" s="32"/>
      <c r="J135" s="35">
        <f>VLOOKUP(B135,'[1]remainderlist'!$B$1:$I$1139,8,FALSE)</f>
        <v>75</v>
      </c>
      <c r="K135" s="33" t="s">
        <v>868</v>
      </c>
      <c r="L135" s="32">
        <v>72</v>
      </c>
      <c r="M135" s="32" t="str">
        <f>"9781452141862"</f>
        <v>9781452141862</v>
      </c>
      <c r="N135" s="36">
        <v>20.95</v>
      </c>
      <c r="O135" s="20" t="s">
        <v>506</v>
      </c>
      <c r="P135" s="19"/>
      <c r="Q135" s="19"/>
    </row>
    <row r="136" spans="1:17" ht="29.5" customHeight="1">
      <c r="A136" s="32"/>
      <c r="B136" s="56" t="str">
        <f>"0201423637945"</f>
        <v>0201423637945</v>
      </c>
      <c r="C136" s="33" t="s">
        <v>766</v>
      </c>
      <c r="D136" s="34" t="s">
        <v>1142</v>
      </c>
      <c r="E136" s="34" t="s">
        <v>1143</v>
      </c>
      <c r="F136" s="32" t="s">
        <v>208</v>
      </c>
      <c r="G136" s="32" t="s">
        <v>8</v>
      </c>
      <c r="H136" s="40">
        <v>7.99</v>
      </c>
      <c r="I136" s="32"/>
      <c r="J136" s="35">
        <f>VLOOKUP(B136,'[1]remainderlist'!$B$1:$I$1139,8,FALSE)</f>
        <v>416</v>
      </c>
      <c r="K136" s="33" t="s">
        <v>807</v>
      </c>
      <c r="L136" s="32">
        <v>16</v>
      </c>
      <c r="M136" s="32" t="str">
        <f>"9781423637943"</f>
        <v>9781423637943</v>
      </c>
      <c r="N136" s="36">
        <v>42</v>
      </c>
      <c r="O136" s="20" t="s">
        <v>506</v>
      </c>
      <c r="P136" s="19"/>
      <c r="Q136" s="19"/>
    </row>
    <row r="137" spans="1:17" s="10" customFormat="1" ht="15">
      <c r="A137" s="45"/>
      <c r="B137" s="52" t="s">
        <v>1386</v>
      </c>
      <c r="C137" s="6"/>
      <c r="D137" s="6"/>
      <c r="E137" s="6"/>
      <c r="F137" s="7"/>
      <c r="G137" s="7"/>
      <c r="H137" s="44"/>
      <c r="I137" s="8"/>
      <c r="J137" s="7"/>
      <c r="K137" s="6"/>
      <c r="L137" s="7"/>
      <c r="M137" s="9"/>
      <c r="N137" s="25"/>
      <c r="O137" s="11"/>
      <c r="P137" s="30"/>
      <c r="Q137" s="30"/>
    </row>
    <row r="138" spans="1:17" ht="29.5" customHeight="1">
      <c r="A138" s="32"/>
      <c r="B138" s="56" t="str">
        <f>"0201423645810"</f>
        <v>0201423645810</v>
      </c>
      <c r="C138" s="33" t="s">
        <v>766</v>
      </c>
      <c r="D138" s="34" t="s">
        <v>1246</v>
      </c>
      <c r="E138" s="34" t="s">
        <v>1247</v>
      </c>
      <c r="F138" s="32" t="s">
        <v>214</v>
      </c>
      <c r="G138" s="32" t="s">
        <v>8</v>
      </c>
      <c r="H138" s="40">
        <v>7</v>
      </c>
      <c r="I138" s="37" t="s">
        <v>501</v>
      </c>
      <c r="J138" s="35">
        <f>VLOOKUP(B138,'[1]remainderlist'!$B$1:$I$1139,8,FALSE)</f>
        <v>220</v>
      </c>
      <c r="K138" s="33" t="s">
        <v>1221</v>
      </c>
      <c r="L138" s="32">
        <v>22</v>
      </c>
      <c r="M138" s="32" t="str">
        <f>"9781423645818"</f>
        <v>9781423645818</v>
      </c>
      <c r="N138" s="36">
        <v>27.99</v>
      </c>
      <c r="O138" s="20" t="s">
        <v>506</v>
      </c>
      <c r="P138" s="19"/>
      <c r="Q138" s="19"/>
    </row>
    <row r="139" spans="1:17" ht="29.5" customHeight="1">
      <c r="A139" s="32"/>
      <c r="B139" s="56" t="str">
        <f>"0201452118316"</f>
        <v>0201452118316</v>
      </c>
      <c r="C139" s="33" t="s">
        <v>1377</v>
      </c>
      <c r="D139" s="34" t="s">
        <v>685</v>
      </c>
      <c r="E139" s="34" t="s">
        <v>686</v>
      </c>
      <c r="F139" s="32" t="s">
        <v>247</v>
      </c>
      <c r="G139" s="32" t="s">
        <v>8</v>
      </c>
      <c r="H139" s="40">
        <v>5.99</v>
      </c>
      <c r="I139" s="32"/>
      <c r="J139" s="35">
        <v>21</v>
      </c>
      <c r="K139" s="33" t="s">
        <v>643</v>
      </c>
      <c r="L139" s="32">
        <v>12</v>
      </c>
      <c r="M139" s="32" t="str">
        <f>"9781452118314"</f>
        <v>9781452118314</v>
      </c>
      <c r="N139" s="36">
        <v>32.95</v>
      </c>
      <c r="O139" s="20" t="s">
        <v>506</v>
      </c>
      <c r="P139" s="19"/>
      <c r="Q139" s="19"/>
    </row>
    <row r="140" spans="1:17" s="10" customFormat="1" ht="15">
      <c r="A140" s="45"/>
      <c r="B140" s="52" t="s">
        <v>1361</v>
      </c>
      <c r="C140" s="6"/>
      <c r="D140" s="6"/>
      <c r="E140" s="6"/>
      <c r="F140" s="7"/>
      <c r="G140" s="7"/>
      <c r="H140" s="44"/>
      <c r="I140" s="8"/>
      <c r="J140" s="7"/>
      <c r="K140" s="6"/>
      <c r="L140" s="7"/>
      <c r="M140" s="9"/>
      <c r="N140" s="25"/>
      <c r="O140" s="11"/>
      <c r="P140" s="30"/>
      <c r="Q140" s="30"/>
    </row>
    <row r="141" spans="1:17" ht="29.5" customHeight="1">
      <c r="A141" s="32"/>
      <c r="B141" s="56" t="str">
        <f>"0221402260698"</f>
        <v>0221402260698</v>
      </c>
      <c r="C141" s="33" t="s">
        <v>511</v>
      </c>
      <c r="D141" s="34" t="s">
        <v>531</v>
      </c>
      <c r="E141" s="34" t="s">
        <v>532</v>
      </c>
      <c r="F141" s="32" t="s">
        <v>474</v>
      </c>
      <c r="G141" s="32" t="s">
        <v>26</v>
      </c>
      <c r="H141" s="40">
        <v>3.99</v>
      </c>
      <c r="I141" s="32"/>
      <c r="J141" s="35">
        <f>VLOOKUP(B141,'[1]remainderlist'!$B$1:$I$1139,8,FALSE)</f>
        <v>922</v>
      </c>
      <c r="K141" s="33" t="s">
        <v>521</v>
      </c>
      <c r="L141" s="32">
        <v>36</v>
      </c>
      <c r="M141" s="32" t="str">
        <f>"9781402260698"</f>
        <v>9781402260698</v>
      </c>
      <c r="N141" s="36">
        <v>20.99</v>
      </c>
      <c r="O141" s="20" t="s">
        <v>506</v>
      </c>
      <c r="P141" s="19"/>
      <c r="Q141" s="19"/>
    </row>
    <row r="142" spans="1:17" ht="29.5" customHeight="1">
      <c r="A142" s="32"/>
      <c r="B142" s="56" t="str">
        <f>"0221402253287"</f>
        <v>0221402253287</v>
      </c>
      <c r="C142" s="33" t="s">
        <v>511</v>
      </c>
      <c r="D142" s="34" t="s">
        <v>523</v>
      </c>
      <c r="E142" s="34" t="s">
        <v>506</v>
      </c>
      <c r="F142" s="32" t="s">
        <v>465</v>
      </c>
      <c r="G142" s="32" t="s">
        <v>26</v>
      </c>
      <c r="H142" s="40">
        <v>2.99</v>
      </c>
      <c r="I142" s="32"/>
      <c r="J142" s="35">
        <f>VLOOKUP(B142,'[1]remainderlist'!$B$1:$I$1139,8,FALSE)</f>
        <v>570</v>
      </c>
      <c r="K142" s="33" t="s">
        <v>515</v>
      </c>
      <c r="L142" s="32">
        <v>48</v>
      </c>
      <c r="M142" s="32" t="str">
        <f>"9781402253287"</f>
        <v>9781402253287</v>
      </c>
      <c r="N142" s="36">
        <v>14.99</v>
      </c>
      <c r="O142" s="20" t="s">
        <v>506</v>
      </c>
      <c r="P142" s="19"/>
      <c r="Q142" s="19"/>
    </row>
    <row r="143" spans="1:17" ht="29.5" customHeight="1">
      <c r="A143" s="32"/>
      <c r="B143" s="56" t="str">
        <f>"0201452144988"</f>
        <v>0201452144988</v>
      </c>
      <c r="C143" s="33" t="s">
        <v>1377</v>
      </c>
      <c r="D143" s="34" t="s">
        <v>1166</v>
      </c>
      <c r="E143" s="34" t="s">
        <v>506</v>
      </c>
      <c r="F143" s="32" t="s">
        <v>309</v>
      </c>
      <c r="G143" s="32" t="s">
        <v>8</v>
      </c>
      <c r="H143" s="40">
        <v>3.99</v>
      </c>
      <c r="I143" s="32"/>
      <c r="J143" s="35">
        <f>VLOOKUP(B143,'[1]remainderlist'!$B$1:$I$1139,8,FALSE)</f>
        <v>68</v>
      </c>
      <c r="K143" s="33" t="s">
        <v>986</v>
      </c>
      <c r="L143" s="32">
        <v>54</v>
      </c>
      <c r="M143" s="32" t="str">
        <f>"9781452144986"</f>
        <v>9781452144986</v>
      </c>
      <c r="N143" s="36">
        <v>18.5</v>
      </c>
      <c r="O143" s="20" t="s">
        <v>506</v>
      </c>
      <c r="P143" s="19"/>
      <c r="Q143" s="19"/>
    </row>
    <row r="144" spans="1:17" ht="29.5" customHeight="1">
      <c r="A144" s="32"/>
      <c r="B144" s="56" t="str">
        <f>"0221402259685"</f>
        <v>0221402259685</v>
      </c>
      <c r="C144" s="33" t="s">
        <v>511</v>
      </c>
      <c r="D144" s="34" t="s">
        <v>584</v>
      </c>
      <c r="E144" s="34" t="s">
        <v>585</v>
      </c>
      <c r="F144" s="32" t="s">
        <v>471</v>
      </c>
      <c r="G144" s="32" t="s">
        <v>6</v>
      </c>
      <c r="H144" s="40">
        <v>3.99</v>
      </c>
      <c r="I144" s="32"/>
      <c r="J144" s="35">
        <f>VLOOKUP(B144,'[1]remainderlist'!$B$1:$I$1139,8,FALSE)</f>
        <v>177</v>
      </c>
      <c r="K144" s="33" t="s">
        <v>515</v>
      </c>
      <c r="L144" s="32">
        <v>32</v>
      </c>
      <c r="M144" s="32" t="str">
        <f>"9781402259685"</f>
        <v>9781402259685</v>
      </c>
      <c r="N144" s="36">
        <v>26.99</v>
      </c>
      <c r="O144" s="20" t="s">
        <v>506</v>
      </c>
      <c r="P144" s="19"/>
      <c r="Q144" s="19"/>
    </row>
    <row r="145" spans="1:17" ht="29.5" customHeight="1">
      <c r="A145" s="32"/>
      <c r="B145" s="56" t="str">
        <f>"0201452136013"</f>
        <v>0201452136013</v>
      </c>
      <c r="C145" s="33" t="s">
        <v>1377</v>
      </c>
      <c r="D145" s="34" t="s">
        <v>887</v>
      </c>
      <c r="E145" s="34" t="s">
        <v>506</v>
      </c>
      <c r="F145" s="32" t="s">
        <v>253</v>
      </c>
      <c r="G145" s="32" t="s">
        <v>8</v>
      </c>
      <c r="H145" s="40">
        <v>1.99</v>
      </c>
      <c r="I145" s="32"/>
      <c r="J145" s="35">
        <f>VLOOKUP(B145,'[1]remainderlist'!$B$1:$I$1139,8,FALSE)</f>
        <v>528</v>
      </c>
      <c r="K145" s="33" t="s">
        <v>868</v>
      </c>
      <c r="L145" s="32">
        <v>60</v>
      </c>
      <c r="M145" s="32" t="str">
        <f>"9781452136011"</f>
        <v>9781452136011</v>
      </c>
      <c r="N145" s="36">
        <v>12.95</v>
      </c>
      <c r="O145" s="20" t="s">
        <v>506</v>
      </c>
      <c r="P145" s="19"/>
      <c r="Q145" s="19"/>
    </row>
    <row r="146" spans="1:17" ht="29.5" customHeight="1">
      <c r="A146" s="32"/>
      <c r="B146" s="56" t="str">
        <f>"0221402259227"</f>
        <v>0221402259227</v>
      </c>
      <c r="C146" s="33" t="s">
        <v>511</v>
      </c>
      <c r="D146" s="34" t="s">
        <v>527</v>
      </c>
      <c r="E146" s="34" t="s">
        <v>528</v>
      </c>
      <c r="F146" s="32" t="s">
        <v>469</v>
      </c>
      <c r="G146" s="32" t="s">
        <v>6</v>
      </c>
      <c r="H146" s="40">
        <v>3.99</v>
      </c>
      <c r="I146" s="32"/>
      <c r="J146" s="35">
        <f>VLOOKUP(B146,'[1]remainderlist'!$B$1:$I$1139,8,FALSE)</f>
        <v>754</v>
      </c>
      <c r="K146" s="33" t="s">
        <v>521</v>
      </c>
      <c r="L146" s="32">
        <v>48</v>
      </c>
      <c r="M146" s="32" t="str">
        <f>"9781402259227"</f>
        <v>9781402259227</v>
      </c>
      <c r="N146" s="36">
        <v>18.5</v>
      </c>
      <c r="O146" s="20" t="s">
        <v>506</v>
      </c>
      <c r="P146" s="19"/>
      <c r="Q146" s="19"/>
    </row>
    <row r="147" spans="1:17" ht="29.5" customHeight="1">
      <c r="A147" s="32"/>
      <c r="B147" s="56" t="str">
        <f>"0201452139847"</f>
        <v>0201452139847</v>
      </c>
      <c r="C147" s="33" t="s">
        <v>1377</v>
      </c>
      <c r="D147" s="34" t="s">
        <v>995</v>
      </c>
      <c r="E147" s="34" t="s">
        <v>996</v>
      </c>
      <c r="F147" s="32" t="s">
        <v>289</v>
      </c>
      <c r="G147" s="32" t="s">
        <v>8</v>
      </c>
      <c r="H147" s="40">
        <v>5.99</v>
      </c>
      <c r="I147" s="32"/>
      <c r="J147" s="35">
        <f>VLOOKUP(B147,'[1]remainderlist'!$B$1:$I$1139,8,FALSE)</f>
        <v>540</v>
      </c>
      <c r="K147" s="33" t="s">
        <v>905</v>
      </c>
      <c r="L147" s="32">
        <v>20</v>
      </c>
      <c r="M147" s="32" t="str">
        <f>"9781452139845"</f>
        <v>9781452139845</v>
      </c>
      <c r="N147" s="36">
        <v>27.95</v>
      </c>
      <c r="O147" s="20" t="s">
        <v>506</v>
      </c>
      <c r="P147" s="19"/>
      <c r="Q147" s="19"/>
    </row>
    <row r="148" spans="1:17" s="10" customFormat="1" ht="15">
      <c r="A148" s="45"/>
      <c r="B148" s="52" t="s">
        <v>1362</v>
      </c>
      <c r="C148" s="6"/>
      <c r="D148" s="6"/>
      <c r="E148" s="6"/>
      <c r="F148" s="7"/>
      <c r="G148" s="7"/>
      <c r="H148" s="44"/>
      <c r="I148" s="8"/>
      <c r="J148" s="7"/>
      <c r="K148" s="6"/>
      <c r="L148" s="7"/>
      <c r="M148" s="9"/>
      <c r="N148" s="25"/>
      <c r="O148" s="11"/>
      <c r="P148" s="30"/>
      <c r="Q148" s="30"/>
    </row>
    <row r="149" spans="1:17" ht="29.5" customHeight="1">
      <c r="A149" s="32"/>
      <c r="B149" s="56" t="str">
        <f>"0221402243752"</f>
        <v>0221402243752</v>
      </c>
      <c r="C149" s="33" t="s">
        <v>511</v>
      </c>
      <c r="D149" s="34" t="s">
        <v>605</v>
      </c>
      <c r="E149" s="34" t="s">
        <v>606</v>
      </c>
      <c r="F149" s="32" t="s">
        <v>458</v>
      </c>
      <c r="G149" s="32" t="s">
        <v>26</v>
      </c>
      <c r="H149" s="40">
        <v>0.99</v>
      </c>
      <c r="I149" s="32"/>
      <c r="J149" s="35">
        <f>VLOOKUP(B149,'[1]remainderlist'!$B$1:$I$1139,8,FALSE)</f>
        <v>100</v>
      </c>
      <c r="K149" s="33" t="s">
        <v>515</v>
      </c>
      <c r="L149" s="32">
        <v>32</v>
      </c>
      <c r="M149" s="32" t="str">
        <f>"9781402243752"</f>
        <v>9781402243752</v>
      </c>
      <c r="N149" s="36">
        <v>9.99</v>
      </c>
      <c r="O149" s="20" t="s">
        <v>506</v>
      </c>
      <c r="P149" s="19"/>
      <c r="Q149" s="19"/>
    </row>
    <row r="150" spans="1:17" ht="29.5" customHeight="1">
      <c r="A150" s="32"/>
      <c r="B150" s="56" t="str">
        <f>"0221402268038"</f>
        <v>0221402268038</v>
      </c>
      <c r="C150" s="33" t="s">
        <v>511</v>
      </c>
      <c r="D150" s="34" t="s">
        <v>621</v>
      </c>
      <c r="E150" s="34" t="s">
        <v>506</v>
      </c>
      <c r="F150" s="32" t="s">
        <v>485</v>
      </c>
      <c r="G150" s="32" t="s">
        <v>6</v>
      </c>
      <c r="H150" s="40">
        <v>3.99</v>
      </c>
      <c r="I150" s="32"/>
      <c r="J150" s="35">
        <f>VLOOKUP(B150,'[1]remainderlist'!$B$1:$I$1139,8,FALSE)</f>
        <v>306</v>
      </c>
      <c r="K150" s="33" t="s">
        <v>576</v>
      </c>
      <c r="L150" s="32">
        <v>32</v>
      </c>
      <c r="M150" s="32" t="str">
        <f>"9781402268038"</f>
        <v>9781402268038</v>
      </c>
      <c r="N150" s="36">
        <v>20.99</v>
      </c>
      <c r="O150" s="20" t="s">
        <v>506</v>
      </c>
      <c r="P150" s="19"/>
      <c r="Q150" s="19"/>
    </row>
    <row r="151" spans="1:17" ht="29.5" customHeight="1">
      <c r="A151" s="32"/>
      <c r="B151" s="56" t="str">
        <f>"0221402241444"</f>
        <v>0221402241444</v>
      </c>
      <c r="C151" s="33" t="s">
        <v>511</v>
      </c>
      <c r="D151" s="34" t="s">
        <v>552</v>
      </c>
      <c r="E151" s="34" t="s">
        <v>506</v>
      </c>
      <c r="F151" s="32" t="s">
        <v>454</v>
      </c>
      <c r="G151" s="32" t="s">
        <v>26</v>
      </c>
      <c r="H151" s="40">
        <v>1.99</v>
      </c>
      <c r="I151" s="32"/>
      <c r="J151" s="35">
        <f>VLOOKUP(B151,'[1]remainderlist'!$B$1:$I$1139,8,FALSE)</f>
        <v>321</v>
      </c>
      <c r="K151" s="33" t="s">
        <v>515</v>
      </c>
      <c r="L151" s="32">
        <v>36</v>
      </c>
      <c r="M151" s="32" t="str">
        <f>"9781402241444"</f>
        <v>9781402241444</v>
      </c>
      <c r="N151" s="36">
        <v>13.99</v>
      </c>
      <c r="O151" s="20" t="s">
        <v>506</v>
      </c>
      <c r="P151" s="19"/>
      <c r="Q151" s="19"/>
    </row>
    <row r="152" spans="1:17" ht="29.5" customHeight="1">
      <c r="A152" s="32"/>
      <c r="B152" s="56" t="str">
        <f>"0221402255922"</f>
        <v>0221402255922</v>
      </c>
      <c r="C152" s="33" t="s">
        <v>511</v>
      </c>
      <c r="D152" s="34" t="s">
        <v>580</v>
      </c>
      <c r="E152" s="34" t="s">
        <v>506</v>
      </c>
      <c r="F152" s="32" t="s">
        <v>467</v>
      </c>
      <c r="G152" s="32" t="s">
        <v>6</v>
      </c>
      <c r="H152" s="40">
        <v>3.99</v>
      </c>
      <c r="I152" s="32"/>
      <c r="J152" s="35">
        <f>VLOOKUP(B152,'[1]remainderlist'!$B$1:$I$1139,8,FALSE)</f>
        <v>152</v>
      </c>
      <c r="K152" s="33" t="s">
        <v>521</v>
      </c>
      <c r="L152" s="32">
        <v>36</v>
      </c>
      <c r="M152" s="32" t="str">
        <f>"9781402255922"</f>
        <v>9781402255922</v>
      </c>
      <c r="N152" s="36">
        <v>23.99</v>
      </c>
      <c r="O152" s="20" t="s">
        <v>506</v>
      </c>
      <c r="P152" s="19"/>
      <c r="Q152" s="19"/>
    </row>
    <row r="153" spans="1:17" ht="29.5" customHeight="1">
      <c r="A153" s="32"/>
      <c r="B153" s="56" t="str">
        <f>"0221402255892"</f>
        <v>0221402255892</v>
      </c>
      <c r="C153" s="33" t="s">
        <v>511</v>
      </c>
      <c r="D153" s="34" t="s">
        <v>590</v>
      </c>
      <c r="E153" s="34" t="s">
        <v>506</v>
      </c>
      <c r="F153" s="32" t="s">
        <v>467</v>
      </c>
      <c r="G153" s="32" t="s">
        <v>6</v>
      </c>
      <c r="H153" s="40">
        <v>3.99</v>
      </c>
      <c r="I153" s="32"/>
      <c r="J153" s="35">
        <f>VLOOKUP(B153,'[1]remainderlist'!$B$1:$I$1139,8,FALSE)</f>
        <v>323</v>
      </c>
      <c r="K153" s="33" t="s">
        <v>526</v>
      </c>
      <c r="L153" s="32">
        <v>36</v>
      </c>
      <c r="M153" s="32" t="str">
        <f>"9781402255892"</f>
        <v>9781402255892</v>
      </c>
      <c r="N153" s="36">
        <v>18.5</v>
      </c>
      <c r="O153" s="20" t="s">
        <v>506</v>
      </c>
      <c r="P153" s="19"/>
      <c r="Q153" s="19"/>
    </row>
    <row r="154" spans="1:17" ht="29.5" customHeight="1">
      <c r="A154" s="32"/>
      <c r="B154" s="56" t="str">
        <f>"0221402267680"</f>
        <v>0221402267680</v>
      </c>
      <c r="C154" s="33" t="s">
        <v>511</v>
      </c>
      <c r="D154" s="34" t="s">
        <v>563</v>
      </c>
      <c r="E154" s="34" t="s">
        <v>564</v>
      </c>
      <c r="F154" s="32" t="s">
        <v>484</v>
      </c>
      <c r="G154" s="32" t="s">
        <v>26</v>
      </c>
      <c r="H154" s="40">
        <v>3.99</v>
      </c>
      <c r="I154" s="32"/>
      <c r="J154" s="35">
        <f>VLOOKUP(B154,'[1]remainderlist'!$B$1:$I$1139,8,FALSE)</f>
        <v>416</v>
      </c>
      <c r="K154" s="33" t="s">
        <v>526</v>
      </c>
      <c r="L154" s="32">
        <v>20</v>
      </c>
      <c r="M154" s="32" t="str">
        <f>"9781402267680"</f>
        <v>9781402267680</v>
      </c>
      <c r="N154" s="36">
        <v>18.5</v>
      </c>
      <c r="O154" s="20" t="s">
        <v>506</v>
      </c>
      <c r="P154" s="19"/>
      <c r="Q154" s="19"/>
    </row>
    <row r="155" spans="1:17" ht="29.5" customHeight="1">
      <c r="A155" s="32"/>
      <c r="B155" s="56" t="str">
        <f>"0221402238505"</f>
        <v>0221402238505</v>
      </c>
      <c r="C155" s="33" t="s">
        <v>511</v>
      </c>
      <c r="D155" s="34" t="s">
        <v>579</v>
      </c>
      <c r="E155" s="34" t="s">
        <v>506</v>
      </c>
      <c r="F155" s="32" t="s">
        <v>449</v>
      </c>
      <c r="G155" s="32" t="s">
        <v>26</v>
      </c>
      <c r="H155" s="40">
        <v>3.99</v>
      </c>
      <c r="I155" s="32"/>
      <c r="J155" s="35">
        <f>VLOOKUP(B155,'[1]remainderlist'!$B$1:$I$1139,8,FALSE)</f>
        <v>150</v>
      </c>
      <c r="K155" s="33" t="s">
        <v>521</v>
      </c>
      <c r="L155" s="32">
        <v>32</v>
      </c>
      <c r="M155" s="32" t="str">
        <f>"9781402238505"</f>
        <v>9781402238505</v>
      </c>
      <c r="N155" s="36">
        <v>23.99</v>
      </c>
      <c r="O155" s="20" t="s">
        <v>506</v>
      </c>
      <c r="P155" s="19"/>
      <c r="Q155" s="19"/>
    </row>
    <row r="156" spans="1:17" ht="29.5" customHeight="1">
      <c r="A156" s="32"/>
      <c r="B156" s="56" t="str">
        <f>"0221402245046"</f>
        <v>0221402245046</v>
      </c>
      <c r="C156" s="33" t="s">
        <v>511</v>
      </c>
      <c r="D156" s="34" t="s">
        <v>545</v>
      </c>
      <c r="E156" s="34" t="s">
        <v>546</v>
      </c>
      <c r="F156" s="32" t="s">
        <v>462</v>
      </c>
      <c r="G156" s="32" t="s">
        <v>26</v>
      </c>
      <c r="H156" s="40">
        <v>3.99</v>
      </c>
      <c r="I156" s="32"/>
      <c r="J156" s="35">
        <f>VLOOKUP(B156,'[1]remainderlist'!$B$1:$I$1139,8,FALSE)</f>
        <v>276</v>
      </c>
      <c r="K156" s="33" t="s">
        <v>515</v>
      </c>
      <c r="L156" s="32">
        <v>32</v>
      </c>
      <c r="M156" s="32" t="str">
        <f>"9781402245046"</f>
        <v>9781402245046</v>
      </c>
      <c r="N156" s="36">
        <v>20.99</v>
      </c>
      <c r="O156" s="20" t="s">
        <v>506</v>
      </c>
      <c r="P156" s="19"/>
      <c r="Q156" s="19"/>
    </row>
    <row r="157" spans="1:17" ht="29.5" customHeight="1">
      <c r="A157" s="32"/>
      <c r="B157" s="56" t="str">
        <f>"0221402237959"</f>
        <v>0221402237959</v>
      </c>
      <c r="C157" s="33" t="s">
        <v>511</v>
      </c>
      <c r="D157" s="34" t="s">
        <v>547</v>
      </c>
      <c r="E157" s="34" t="s">
        <v>506</v>
      </c>
      <c r="F157" s="32" t="s">
        <v>448</v>
      </c>
      <c r="G157" s="32" t="s">
        <v>26</v>
      </c>
      <c r="H157" s="40">
        <v>3.99</v>
      </c>
      <c r="I157" s="32"/>
      <c r="J157" s="35">
        <f>VLOOKUP(B157,'[1]remainderlist'!$B$1:$I$1139,8,FALSE)</f>
        <v>278</v>
      </c>
      <c r="K157" s="33" t="s">
        <v>521</v>
      </c>
      <c r="L157" s="32">
        <v>40</v>
      </c>
      <c r="M157" s="32" t="str">
        <f>"9781402237959"</f>
        <v>9781402237959</v>
      </c>
      <c r="N157" s="36">
        <v>20.99</v>
      </c>
      <c r="O157" s="20" t="s">
        <v>506</v>
      </c>
      <c r="P157" s="19"/>
      <c r="Q157" s="19"/>
    </row>
    <row r="158" spans="1:17" ht="29.5" customHeight="1">
      <c r="A158" s="32"/>
      <c r="B158" s="56" t="str">
        <f>"0221402243394"</f>
        <v>0221402243394</v>
      </c>
      <c r="C158" s="33" t="s">
        <v>511</v>
      </c>
      <c r="D158" s="34" t="s">
        <v>561</v>
      </c>
      <c r="E158" s="34" t="s">
        <v>506</v>
      </c>
      <c r="F158" s="32" t="s">
        <v>457</v>
      </c>
      <c r="G158" s="32" t="s">
        <v>6</v>
      </c>
      <c r="H158" s="40">
        <v>3.99</v>
      </c>
      <c r="I158" s="32"/>
      <c r="J158" s="35">
        <f>VLOOKUP(B158,'[1]remainderlist'!$B$1:$I$1139,8,FALSE)</f>
        <v>362</v>
      </c>
      <c r="K158" s="33" t="s">
        <v>543</v>
      </c>
      <c r="L158" s="32">
        <v>32</v>
      </c>
      <c r="M158" s="32" t="str">
        <f>"9781402243394"</f>
        <v>9781402243394</v>
      </c>
      <c r="N158" s="36">
        <v>20.99</v>
      </c>
      <c r="O158" s="20" t="s">
        <v>506</v>
      </c>
      <c r="P158" s="19"/>
      <c r="Q158" s="19"/>
    </row>
    <row r="159" spans="1:17" ht="29.5" customHeight="1">
      <c r="A159" s="32"/>
      <c r="B159" s="56" t="str">
        <f>"0221402240669"</f>
        <v>0221402240669</v>
      </c>
      <c r="C159" s="33" t="s">
        <v>511</v>
      </c>
      <c r="D159" s="34" t="s">
        <v>570</v>
      </c>
      <c r="E159" s="34" t="s">
        <v>571</v>
      </c>
      <c r="F159" s="32" t="s">
        <v>453</v>
      </c>
      <c r="G159" s="32" t="s">
        <v>6</v>
      </c>
      <c r="H159" s="40">
        <v>4.99</v>
      </c>
      <c r="I159" s="32"/>
      <c r="J159" s="35">
        <f>VLOOKUP(B159,'[1]remainderlist'!$B$1:$I$1139,8,FALSE)</f>
        <v>140</v>
      </c>
      <c r="K159" s="33" t="s">
        <v>515</v>
      </c>
      <c r="L159" s="32">
        <v>1</v>
      </c>
      <c r="M159" s="32" t="str">
        <f>"9781402240669"</f>
        <v>9781402240669</v>
      </c>
      <c r="N159" s="36">
        <v>32.5</v>
      </c>
      <c r="O159" s="20" t="s">
        <v>506</v>
      </c>
      <c r="P159" s="19"/>
      <c r="Q159" s="19"/>
    </row>
    <row r="160" spans="1:17" ht="29.5" customHeight="1">
      <c r="A160" s="32"/>
      <c r="B160" s="56" t="str">
        <f>"0221402238680"</f>
        <v>0221402238680</v>
      </c>
      <c r="C160" s="33" t="s">
        <v>511</v>
      </c>
      <c r="D160" s="34" t="s">
        <v>594</v>
      </c>
      <c r="E160" s="34" t="s">
        <v>595</v>
      </c>
      <c r="F160" s="32" t="s">
        <v>451</v>
      </c>
      <c r="G160" s="32" t="s">
        <v>6</v>
      </c>
      <c r="H160" s="40">
        <v>4.99</v>
      </c>
      <c r="I160" s="32"/>
      <c r="J160" s="35">
        <f>VLOOKUP(B160,'[1]remainderlist'!$B$1:$I$1139,8,FALSE)</f>
        <v>49</v>
      </c>
      <c r="K160" s="33" t="s">
        <v>543</v>
      </c>
      <c r="L160" s="32">
        <v>20</v>
      </c>
      <c r="M160" s="32" t="str">
        <f>"9781402238680"</f>
        <v>9781402238680</v>
      </c>
      <c r="N160" s="36">
        <v>23.99</v>
      </c>
      <c r="O160" s="20" t="s">
        <v>506</v>
      </c>
      <c r="P160" s="19"/>
      <c r="Q160" s="19"/>
    </row>
    <row r="161" spans="1:17" ht="29.5" customHeight="1">
      <c r="A161" s="32"/>
      <c r="B161" s="56" t="str">
        <f>"0221402263897"</f>
        <v>0221402263897</v>
      </c>
      <c r="C161" s="33" t="s">
        <v>511</v>
      </c>
      <c r="D161" s="34" t="s">
        <v>587</v>
      </c>
      <c r="E161" s="34" t="s">
        <v>506</v>
      </c>
      <c r="F161" s="32" t="s">
        <v>477</v>
      </c>
      <c r="G161" s="32" t="s">
        <v>6</v>
      </c>
      <c r="H161" s="40">
        <v>3.99</v>
      </c>
      <c r="I161" s="32"/>
      <c r="J161" s="35">
        <f>VLOOKUP(B161,'[1]remainderlist'!$B$1:$I$1139,8,FALSE)</f>
        <v>256</v>
      </c>
      <c r="K161" s="33" t="s">
        <v>576</v>
      </c>
      <c r="L161" s="32">
        <v>40</v>
      </c>
      <c r="M161" s="32" t="str">
        <f>"9781402263897"</f>
        <v>9781402263897</v>
      </c>
      <c r="N161" s="36">
        <v>20.99</v>
      </c>
      <c r="O161" s="20" t="s">
        <v>506</v>
      </c>
      <c r="P161" s="19"/>
      <c r="Q161" s="19"/>
    </row>
    <row r="162" spans="1:17" ht="29.5" customHeight="1">
      <c r="A162" s="32"/>
      <c r="B162" s="56" t="str">
        <f>"0221402242458"</f>
        <v>0221402242458</v>
      </c>
      <c r="C162" s="33" t="s">
        <v>511</v>
      </c>
      <c r="D162" s="34" t="s">
        <v>581</v>
      </c>
      <c r="E162" s="34" t="s">
        <v>506</v>
      </c>
      <c r="F162" s="32" t="s">
        <v>456</v>
      </c>
      <c r="G162" s="32" t="s">
        <v>26</v>
      </c>
      <c r="H162" s="40">
        <v>1.99</v>
      </c>
      <c r="I162" s="32"/>
      <c r="J162" s="35">
        <f>VLOOKUP(B162,'[1]remainderlist'!$B$1:$I$1139,8,FALSE)</f>
        <v>159</v>
      </c>
      <c r="K162" s="33" t="s">
        <v>521</v>
      </c>
      <c r="L162" s="32">
        <v>28</v>
      </c>
      <c r="M162" s="32" t="str">
        <f>"9781402242458"</f>
        <v>9781402242458</v>
      </c>
      <c r="N162" s="36">
        <v>13.99</v>
      </c>
      <c r="O162" s="20" t="s">
        <v>506</v>
      </c>
      <c r="P162" s="19"/>
      <c r="Q162" s="19"/>
    </row>
    <row r="163" spans="1:17" ht="29.5" customHeight="1">
      <c r="A163" s="32"/>
      <c r="B163" s="56" t="str">
        <f>"0221402242434"</f>
        <v>0221402242434</v>
      </c>
      <c r="C163" s="33" t="s">
        <v>511</v>
      </c>
      <c r="D163" s="34" t="s">
        <v>562</v>
      </c>
      <c r="E163" s="34" t="s">
        <v>506</v>
      </c>
      <c r="F163" s="32" t="s">
        <v>456</v>
      </c>
      <c r="G163" s="32" t="s">
        <v>26</v>
      </c>
      <c r="H163" s="40">
        <v>1.99</v>
      </c>
      <c r="I163" s="32"/>
      <c r="J163" s="35">
        <f>VLOOKUP(B163,'[1]remainderlist'!$B$1:$I$1139,8,FALSE)</f>
        <v>382</v>
      </c>
      <c r="K163" s="33" t="s">
        <v>515</v>
      </c>
      <c r="L163" s="32">
        <v>32</v>
      </c>
      <c r="M163" s="32" t="str">
        <f>"9781402242434"</f>
        <v>9781402242434</v>
      </c>
      <c r="N163" s="36">
        <v>13.99</v>
      </c>
      <c r="O163" s="20" t="s">
        <v>506</v>
      </c>
      <c r="P163" s="19"/>
      <c r="Q163" s="19"/>
    </row>
    <row r="164" spans="1:17" ht="29.5" customHeight="1">
      <c r="A164" s="32"/>
      <c r="B164" s="56" t="str">
        <f>"0221402265945"</f>
        <v>0221402265945</v>
      </c>
      <c r="C164" s="33" t="s">
        <v>511</v>
      </c>
      <c r="D164" s="34" t="s">
        <v>533</v>
      </c>
      <c r="E164" s="34" t="s">
        <v>534</v>
      </c>
      <c r="F164" s="32" t="s">
        <v>482</v>
      </c>
      <c r="G164" s="32" t="s">
        <v>6</v>
      </c>
      <c r="H164" s="40">
        <v>3.99</v>
      </c>
      <c r="I164" s="32"/>
      <c r="J164" s="35">
        <f>VLOOKUP(B164,'[1]remainderlist'!$B$1:$I$1139,8,FALSE)</f>
        <v>1091</v>
      </c>
      <c r="K164" s="33" t="s">
        <v>526</v>
      </c>
      <c r="L164" s="32">
        <v>28</v>
      </c>
      <c r="M164" s="32" t="str">
        <f>"9781402265945"</f>
        <v>9781402265945</v>
      </c>
      <c r="N164" s="36">
        <v>20.99</v>
      </c>
      <c r="O164" s="20" t="s">
        <v>506</v>
      </c>
      <c r="P164" s="19"/>
      <c r="Q164" s="19"/>
    </row>
    <row r="165" spans="1:17" ht="29.5" customHeight="1">
      <c r="A165" s="32"/>
      <c r="B165" s="56" t="str">
        <f>"0221402239915"</f>
        <v>0221402239915</v>
      </c>
      <c r="C165" s="33" t="s">
        <v>511</v>
      </c>
      <c r="D165" s="34" t="s">
        <v>582</v>
      </c>
      <c r="E165" s="34" t="s">
        <v>583</v>
      </c>
      <c r="F165" s="32" t="s">
        <v>452</v>
      </c>
      <c r="G165" s="32" t="s">
        <v>6</v>
      </c>
      <c r="H165" s="40">
        <v>3.99</v>
      </c>
      <c r="I165" s="32"/>
      <c r="J165" s="35">
        <f>VLOOKUP(B165,'[1]remainderlist'!$B$1:$I$1139,8,FALSE)</f>
        <v>172</v>
      </c>
      <c r="K165" s="33" t="s">
        <v>543</v>
      </c>
      <c r="L165" s="32">
        <v>28</v>
      </c>
      <c r="M165" s="32" t="str">
        <f>"9781402239915"</f>
        <v>9781402239915</v>
      </c>
      <c r="N165" s="36">
        <v>16.99</v>
      </c>
      <c r="O165" s="20" t="s">
        <v>506</v>
      </c>
      <c r="P165" s="19"/>
      <c r="Q165" s="19"/>
    </row>
    <row r="166" spans="1:17" ht="29.5" customHeight="1">
      <c r="A166" s="32"/>
      <c r="B166" s="56" t="str">
        <f>"0221402257810"</f>
        <v>0221402257810</v>
      </c>
      <c r="C166" s="33" t="s">
        <v>511</v>
      </c>
      <c r="D166" s="34" t="s">
        <v>598</v>
      </c>
      <c r="E166" s="34" t="s">
        <v>506</v>
      </c>
      <c r="F166" s="32" t="s">
        <v>468</v>
      </c>
      <c r="G166" s="32" t="s">
        <v>6</v>
      </c>
      <c r="H166" s="40">
        <v>3.99</v>
      </c>
      <c r="I166" s="32"/>
      <c r="J166" s="35">
        <f>VLOOKUP(B166,'[1]remainderlist'!$B$1:$I$1139,8,FALSE)</f>
        <v>83</v>
      </c>
      <c r="K166" s="33" t="s">
        <v>521</v>
      </c>
      <c r="L166" s="32">
        <v>24</v>
      </c>
      <c r="M166" s="32" t="str">
        <f>"9781402257810"</f>
        <v>9781402257810</v>
      </c>
      <c r="N166" s="36">
        <v>20.99</v>
      </c>
      <c r="O166" s="20" t="s">
        <v>506</v>
      </c>
      <c r="P166" s="19"/>
      <c r="Q166" s="19"/>
    </row>
    <row r="167" spans="1:17" ht="29.5" customHeight="1">
      <c r="A167" s="32"/>
      <c r="B167" s="56" t="str">
        <f>"0221402246937"</f>
        <v>0221402246937</v>
      </c>
      <c r="C167" s="33" t="s">
        <v>511</v>
      </c>
      <c r="D167" s="34" t="s">
        <v>537</v>
      </c>
      <c r="E167" s="34" t="s">
        <v>538</v>
      </c>
      <c r="F167" s="32" t="s">
        <v>464</v>
      </c>
      <c r="G167" s="32" t="s">
        <v>26</v>
      </c>
      <c r="H167" s="40">
        <v>2.99</v>
      </c>
      <c r="I167" s="32"/>
      <c r="J167" s="35">
        <f>VLOOKUP(B167,'[1]remainderlist'!$B$1:$I$1139,8,FALSE)</f>
        <v>1538</v>
      </c>
      <c r="K167" s="33" t="s">
        <v>515</v>
      </c>
      <c r="L167" s="32">
        <v>44</v>
      </c>
      <c r="M167" s="32" t="str">
        <f>"9781402246937"</f>
        <v>9781402246937</v>
      </c>
      <c r="N167" s="36">
        <v>13.99</v>
      </c>
      <c r="O167" s="20" t="s">
        <v>506</v>
      </c>
      <c r="P167" s="19"/>
      <c r="Q167" s="19"/>
    </row>
    <row r="168" spans="1:17" ht="29.5" customHeight="1">
      <c r="A168" s="32"/>
      <c r="B168" s="56" t="str">
        <f>"0221402241772"</f>
        <v>0221402241772</v>
      </c>
      <c r="C168" s="33" t="s">
        <v>511</v>
      </c>
      <c r="D168" s="34" t="s">
        <v>553</v>
      </c>
      <c r="E168" s="34" t="s">
        <v>534</v>
      </c>
      <c r="F168" s="32" t="s">
        <v>455</v>
      </c>
      <c r="G168" s="32" t="s">
        <v>26</v>
      </c>
      <c r="H168" s="40">
        <v>3.99</v>
      </c>
      <c r="I168" s="32"/>
      <c r="J168" s="35">
        <f>VLOOKUP(B168,'[1]remainderlist'!$B$1:$I$1139,8,FALSE)</f>
        <v>321</v>
      </c>
      <c r="K168" s="33" t="s">
        <v>515</v>
      </c>
      <c r="L168" s="32">
        <v>24</v>
      </c>
      <c r="M168" s="32" t="str">
        <f>"9781402241772"</f>
        <v>9781402241772</v>
      </c>
      <c r="N168" s="36">
        <v>20.99</v>
      </c>
      <c r="O168" s="20" t="s">
        <v>506</v>
      </c>
      <c r="P168" s="19"/>
      <c r="Q168" s="19"/>
    </row>
    <row r="169" spans="1:17" ht="29.5" customHeight="1">
      <c r="A169" s="32"/>
      <c r="B169" s="56" t="str">
        <f>"0221402222726"</f>
        <v>0221402222726</v>
      </c>
      <c r="C169" s="33" t="s">
        <v>511</v>
      </c>
      <c r="D169" s="34" t="s">
        <v>593</v>
      </c>
      <c r="E169" s="34" t="s">
        <v>506</v>
      </c>
      <c r="F169" s="32" t="s">
        <v>446</v>
      </c>
      <c r="G169" s="32" t="s">
        <v>6</v>
      </c>
      <c r="H169" s="40">
        <v>4.99</v>
      </c>
      <c r="I169" s="32"/>
      <c r="J169" s="35">
        <f>VLOOKUP(B169,'[1]remainderlist'!$B$1:$I$1139,8,FALSE)</f>
        <v>113</v>
      </c>
      <c r="K169" s="33" t="s">
        <v>521</v>
      </c>
      <c r="L169" s="32">
        <v>20</v>
      </c>
      <c r="M169" s="32" t="str">
        <f>"9781402222726"</f>
        <v>9781402222726</v>
      </c>
      <c r="N169" s="36">
        <v>29.99</v>
      </c>
      <c r="O169" s="20" t="s">
        <v>506</v>
      </c>
      <c r="P169" s="19"/>
      <c r="Q169" s="19"/>
    </row>
    <row r="170" spans="1:17" ht="29.5" customHeight="1">
      <c r="A170" s="32"/>
      <c r="B170" s="56" t="str">
        <f>"0221402246401"</f>
        <v>0221402246401</v>
      </c>
      <c r="C170" s="33" t="s">
        <v>511</v>
      </c>
      <c r="D170" s="34" t="s">
        <v>548</v>
      </c>
      <c r="E170" s="34" t="s">
        <v>549</v>
      </c>
      <c r="F170" s="32" t="s">
        <v>463</v>
      </c>
      <c r="G170" s="32" t="s">
        <v>26</v>
      </c>
      <c r="H170" s="40">
        <v>3.99</v>
      </c>
      <c r="I170" s="32"/>
      <c r="J170" s="35">
        <f>VLOOKUP(B170,'[1]remainderlist'!$B$1:$I$1139,8,FALSE)</f>
        <v>295</v>
      </c>
      <c r="K170" s="33" t="s">
        <v>515</v>
      </c>
      <c r="L170" s="32">
        <v>28</v>
      </c>
      <c r="M170" s="32" t="str">
        <f>"9781402246401"</f>
        <v>9781402246401</v>
      </c>
      <c r="N170" s="36">
        <v>23.99</v>
      </c>
      <c r="O170" s="20" t="s">
        <v>506</v>
      </c>
      <c r="P170" s="19"/>
      <c r="Q170" s="19"/>
    </row>
    <row r="171" spans="1:17" s="10" customFormat="1" ht="15">
      <c r="A171" s="45"/>
      <c r="B171" s="52" t="s">
        <v>1383</v>
      </c>
      <c r="C171" s="6"/>
      <c r="D171" s="6"/>
      <c r="E171" s="6"/>
      <c r="F171" s="7"/>
      <c r="G171" s="7"/>
      <c r="H171" s="44"/>
      <c r="I171" s="8"/>
      <c r="J171" s="7"/>
      <c r="K171" s="6"/>
      <c r="L171" s="7"/>
      <c r="M171" s="9"/>
      <c r="N171" s="25"/>
      <c r="O171" s="11"/>
      <c r="P171" s="30"/>
      <c r="Q171" s="30"/>
    </row>
    <row r="172" spans="1:17" ht="29.5" customHeight="1">
      <c r="A172" s="32"/>
      <c r="B172" s="56" t="str">
        <f>"0201452150217"</f>
        <v>0201452150217</v>
      </c>
      <c r="C172" s="33" t="s">
        <v>1377</v>
      </c>
      <c r="D172" s="34" t="s">
        <v>993</v>
      </c>
      <c r="E172" s="34" t="s">
        <v>994</v>
      </c>
      <c r="F172" s="32" t="s">
        <v>317</v>
      </c>
      <c r="G172" s="32" t="s">
        <v>8</v>
      </c>
      <c r="H172" s="40">
        <v>4.99</v>
      </c>
      <c r="I172" s="32"/>
      <c r="J172" s="35">
        <f>VLOOKUP(B172,'[1]remainderlist'!$B$1:$I$1139,8,FALSE)</f>
        <v>449</v>
      </c>
      <c r="K172" s="33" t="s">
        <v>905</v>
      </c>
      <c r="L172" s="32">
        <v>40</v>
      </c>
      <c r="M172" s="32" t="str">
        <f>"9781452150215"</f>
        <v>9781452150215</v>
      </c>
      <c r="N172" s="36">
        <v>23.95</v>
      </c>
      <c r="O172" s="20" t="s">
        <v>506</v>
      </c>
      <c r="P172" s="19"/>
      <c r="Q172" s="19"/>
    </row>
    <row r="173" spans="1:17" ht="29.5" customHeight="1">
      <c r="A173" s="32"/>
      <c r="B173" s="56" t="str">
        <f>"0201452144100"</f>
        <v>0201452144100</v>
      </c>
      <c r="C173" s="33" t="s">
        <v>1377</v>
      </c>
      <c r="D173" s="34" t="s">
        <v>913</v>
      </c>
      <c r="E173" s="34" t="s">
        <v>914</v>
      </c>
      <c r="F173" s="32" t="s">
        <v>307</v>
      </c>
      <c r="G173" s="32" t="s">
        <v>8</v>
      </c>
      <c r="H173" s="40">
        <v>3.99</v>
      </c>
      <c r="I173" s="32"/>
      <c r="J173" s="35">
        <f>VLOOKUP(B173,'[1]remainderlist'!$B$1:$I$1139,8,FALSE)</f>
        <v>160</v>
      </c>
      <c r="K173" s="33" t="s">
        <v>868</v>
      </c>
      <c r="L173" s="32">
        <v>26</v>
      </c>
      <c r="M173" s="32" t="str">
        <f>"9781452144108"</f>
        <v>9781452144108</v>
      </c>
      <c r="N173" s="36">
        <v>20.95</v>
      </c>
      <c r="O173" s="20" t="s">
        <v>506</v>
      </c>
      <c r="P173" s="19"/>
      <c r="Q173" s="19"/>
    </row>
    <row r="174" spans="1:17" ht="29.5" customHeight="1">
      <c r="A174" s="32"/>
      <c r="B174" s="56" t="str">
        <f>"0201452114561"</f>
        <v>0201452114561</v>
      </c>
      <c r="C174" s="33" t="s">
        <v>1377</v>
      </c>
      <c r="D174" s="34" t="s">
        <v>756</v>
      </c>
      <c r="E174" s="34" t="s">
        <v>757</v>
      </c>
      <c r="F174" s="32" t="s">
        <v>243</v>
      </c>
      <c r="G174" s="32" t="s">
        <v>6</v>
      </c>
      <c r="H174" s="40">
        <v>5.99</v>
      </c>
      <c r="I174" s="32"/>
      <c r="J174" s="35">
        <f>VLOOKUP(B174,'[1]remainderlist'!$B$1:$I$1139,8,FALSE)</f>
        <v>133</v>
      </c>
      <c r="K174" s="33" t="s">
        <v>643</v>
      </c>
      <c r="L174" s="32">
        <v>38</v>
      </c>
      <c r="M174" s="32" t="str">
        <f>"9781452114569"</f>
        <v>9781452114569</v>
      </c>
      <c r="N174" s="36">
        <v>27.95</v>
      </c>
      <c r="O174" s="20" t="s">
        <v>506</v>
      </c>
      <c r="P174" s="19"/>
      <c r="Q174" s="19"/>
    </row>
    <row r="175" spans="1:17" ht="29.5" customHeight="1">
      <c r="A175" s="32"/>
      <c r="B175" s="56" t="str">
        <f>"0201452142441"</f>
        <v>0201452142441</v>
      </c>
      <c r="C175" s="33" t="s">
        <v>1377</v>
      </c>
      <c r="D175" s="34" t="s">
        <v>917</v>
      </c>
      <c r="E175" s="34" t="s">
        <v>506</v>
      </c>
      <c r="F175" s="32" t="s">
        <v>302</v>
      </c>
      <c r="G175" s="32" t="s">
        <v>8</v>
      </c>
      <c r="H175" s="40">
        <v>3.99</v>
      </c>
      <c r="I175" s="32"/>
      <c r="J175" s="35">
        <f>VLOOKUP(B175,'[1]remainderlist'!$B$1:$I$1139,8,FALSE)</f>
        <v>211</v>
      </c>
      <c r="K175" s="33" t="s">
        <v>868</v>
      </c>
      <c r="L175" s="32">
        <v>54</v>
      </c>
      <c r="M175" s="32" t="str">
        <f>"9781452142449"</f>
        <v>9781452142449</v>
      </c>
      <c r="N175" s="36">
        <v>18.5</v>
      </c>
      <c r="O175" s="20" t="s">
        <v>506</v>
      </c>
      <c r="P175" s="19"/>
      <c r="Q175" s="19"/>
    </row>
    <row r="176" spans="1:17" ht="29.5" customHeight="1">
      <c r="A176" s="32"/>
      <c r="B176" s="56" t="str">
        <f>"0201452157636"</f>
        <v>0201452157636</v>
      </c>
      <c r="C176" s="33" t="s">
        <v>1377</v>
      </c>
      <c r="D176" s="34" t="s">
        <v>985</v>
      </c>
      <c r="E176" s="34" t="s">
        <v>506</v>
      </c>
      <c r="F176" s="32" t="s">
        <v>326</v>
      </c>
      <c r="G176" s="32" t="s">
        <v>8</v>
      </c>
      <c r="H176" s="40">
        <v>3.99</v>
      </c>
      <c r="I176" s="32"/>
      <c r="J176" s="35">
        <f>VLOOKUP(B176,'[1]remainderlist'!$B$1:$I$1139,8,FALSE)</f>
        <v>100</v>
      </c>
      <c r="K176" s="33" t="s">
        <v>986</v>
      </c>
      <c r="L176" s="32">
        <v>30</v>
      </c>
      <c r="M176" s="32" t="str">
        <f>"9781452157634"</f>
        <v>9781452157634</v>
      </c>
      <c r="N176" s="36">
        <v>20.95</v>
      </c>
      <c r="O176" s="20" t="s">
        <v>506</v>
      </c>
      <c r="P176" s="19"/>
      <c r="Q176" s="19"/>
    </row>
    <row r="177" spans="1:17" ht="29.5" customHeight="1">
      <c r="A177" s="32"/>
      <c r="B177" s="56" t="str">
        <f>"0201452148290"</f>
        <v>0201452148290</v>
      </c>
      <c r="C177" s="33" t="s">
        <v>1377</v>
      </c>
      <c r="D177" s="34" t="s">
        <v>981</v>
      </c>
      <c r="E177" s="34" t="s">
        <v>982</v>
      </c>
      <c r="F177" s="32" t="s">
        <v>312</v>
      </c>
      <c r="G177" s="32" t="s">
        <v>6</v>
      </c>
      <c r="H177" s="40">
        <v>3.99</v>
      </c>
      <c r="I177" s="32"/>
      <c r="J177" s="35">
        <f>VLOOKUP(B177,'[1]remainderlist'!$B$1:$I$1139,8,FALSE)</f>
        <v>110</v>
      </c>
      <c r="K177" s="33" t="s">
        <v>905</v>
      </c>
      <c r="L177" s="32">
        <v>60</v>
      </c>
      <c r="M177" s="32" t="str">
        <f>"9781452148298"</f>
        <v>9781452148298</v>
      </c>
      <c r="N177" s="36">
        <v>20.95</v>
      </c>
      <c r="O177" s="20" t="s">
        <v>506</v>
      </c>
      <c r="P177" s="19"/>
      <c r="Q177" s="19"/>
    </row>
    <row r="178" spans="1:17" s="10" customFormat="1" ht="15">
      <c r="A178" s="45"/>
      <c r="B178" s="52" t="s">
        <v>1384</v>
      </c>
      <c r="C178" s="6"/>
      <c r="D178" s="6"/>
      <c r="E178" s="6"/>
      <c r="F178" s="7"/>
      <c r="G178" s="7"/>
      <c r="H178" s="44"/>
      <c r="I178" s="8"/>
      <c r="J178" s="7"/>
      <c r="K178" s="6"/>
      <c r="L178" s="7"/>
      <c r="M178" s="9"/>
      <c r="N178" s="25"/>
      <c r="O178" s="11"/>
      <c r="P178" s="30"/>
      <c r="Q178" s="30"/>
    </row>
    <row r="179" spans="1:17" ht="29.5" customHeight="1">
      <c r="A179" s="32"/>
      <c r="B179" s="56" t="str">
        <f>"0221402265792"</f>
        <v>0221402265792</v>
      </c>
      <c r="C179" s="33" t="s">
        <v>511</v>
      </c>
      <c r="D179" s="34" t="s">
        <v>607</v>
      </c>
      <c r="E179" s="34" t="s">
        <v>608</v>
      </c>
      <c r="F179" s="32" t="s">
        <v>481</v>
      </c>
      <c r="G179" s="32" t="s">
        <v>6</v>
      </c>
      <c r="H179" s="40">
        <v>3.99</v>
      </c>
      <c r="I179" s="32"/>
      <c r="J179" s="35">
        <f>VLOOKUP(B179,'[1]remainderlist'!$B$1:$I$1139,8,FALSE)</f>
        <v>122</v>
      </c>
      <c r="K179" s="33" t="s">
        <v>526</v>
      </c>
      <c r="L179" s="32">
        <v>20</v>
      </c>
      <c r="M179" s="32" t="str">
        <f>"9781402265792"</f>
        <v>9781402265792</v>
      </c>
      <c r="N179" s="36">
        <v>20.99</v>
      </c>
      <c r="O179" s="20" t="s">
        <v>506</v>
      </c>
      <c r="P179" s="19"/>
      <c r="Q179" s="19"/>
    </row>
    <row r="180" spans="1:17" ht="29.5" customHeight="1">
      <c r="A180" s="32"/>
      <c r="B180" s="56" t="str">
        <f>"0201616894056"</f>
        <v>0201616894056</v>
      </c>
      <c r="C180" s="33" t="s">
        <v>1380</v>
      </c>
      <c r="D180" s="34" t="s">
        <v>1313</v>
      </c>
      <c r="E180" s="34" t="s">
        <v>1314</v>
      </c>
      <c r="F180" s="32" t="s">
        <v>335</v>
      </c>
      <c r="G180" s="32" t="s">
        <v>185</v>
      </c>
      <c r="H180" s="40">
        <v>8.99</v>
      </c>
      <c r="I180" s="37" t="s">
        <v>501</v>
      </c>
      <c r="J180" s="35">
        <f>VLOOKUP(B180,'[1]remainderlist'!$B$1:$I$1139,8,FALSE)</f>
        <v>56</v>
      </c>
      <c r="K180" s="33" t="s">
        <v>905</v>
      </c>
      <c r="L180" s="32">
        <v>28</v>
      </c>
      <c r="M180" s="32" t="str">
        <f>"9781616894054"</f>
        <v>9781616894054</v>
      </c>
      <c r="N180" s="36">
        <v>35.95</v>
      </c>
      <c r="O180" s="20" t="s">
        <v>506</v>
      </c>
      <c r="P180" s="19"/>
      <c r="Q180" s="19"/>
    </row>
    <row r="181" spans="1:17" ht="29.5" customHeight="1">
      <c r="A181" s="32"/>
      <c r="B181" s="56" t="str">
        <f>"0201616893523"</f>
        <v>0201616893523</v>
      </c>
      <c r="C181" s="33" t="s">
        <v>1380</v>
      </c>
      <c r="D181" s="34" t="s">
        <v>1325</v>
      </c>
      <c r="E181" s="34" t="s">
        <v>1326</v>
      </c>
      <c r="F181" s="32" t="s">
        <v>333</v>
      </c>
      <c r="G181" s="32" t="s">
        <v>6</v>
      </c>
      <c r="H181" s="40">
        <v>5.24</v>
      </c>
      <c r="I181" s="37" t="s">
        <v>501</v>
      </c>
      <c r="J181" s="35">
        <f>VLOOKUP(B181,'[1]remainderlist'!$B$1:$I$1139,8,FALSE)</f>
        <v>120</v>
      </c>
      <c r="K181" s="33" t="s">
        <v>807</v>
      </c>
      <c r="L181" s="32">
        <v>60</v>
      </c>
      <c r="M181" s="32" t="str">
        <f>"9781616893521"</f>
        <v>9781616893521</v>
      </c>
      <c r="N181" s="36">
        <v>20.95</v>
      </c>
      <c r="O181" s="20" t="s">
        <v>506</v>
      </c>
      <c r="P181" s="19"/>
      <c r="Q181" s="19"/>
    </row>
    <row r="182" spans="1:17" ht="29.5" customHeight="1">
      <c r="A182" s="32"/>
      <c r="B182" s="56" t="str">
        <f>"0201452145459"</f>
        <v>0201452145459</v>
      </c>
      <c r="C182" s="33" t="s">
        <v>1377</v>
      </c>
      <c r="D182" s="34" t="s">
        <v>920</v>
      </c>
      <c r="E182" s="34" t="s">
        <v>506</v>
      </c>
      <c r="F182" s="32" t="s">
        <v>310</v>
      </c>
      <c r="G182" s="32" t="s">
        <v>8</v>
      </c>
      <c r="H182" s="40">
        <v>9.99</v>
      </c>
      <c r="I182" s="32"/>
      <c r="J182" s="35">
        <f>VLOOKUP(B182,'[1]remainderlist'!$B$1:$I$1139,8,FALSE)</f>
        <v>466</v>
      </c>
      <c r="K182" s="33" t="s">
        <v>868</v>
      </c>
      <c r="L182" s="32">
        <v>14</v>
      </c>
      <c r="M182" s="32" t="str">
        <f>"9781452145457"</f>
        <v>9781452145457</v>
      </c>
      <c r="N182" s="36">
        <v>50</v>
      </c>
      <c r="O182" s="20" t="s">
        <v>506</v>
      </c>
      <c r="P182" s="19"/>
      <c r="Q182" s="19"/>
    </row>
    <row r="183" spans="1:17" ht="29.5" customHeight="1">
      <c r="A183" s="32"/>
      <c r="B183" s="56" t="str">
        <f>"0221402260933"</f>
        <v>0221402260933</v>
      </c>
      <c r="C183" s="33" t="s">
        <v>511</v>
      </c>
      <c r="D183" s="34" t="s">
        <v>599</v>
      </c>
      <c r="E183" s="34" t="s">
        <v>600</v>
      </c>
      <c r="F183" s="32" t="s">
        <v>476</v>
      </c>
      <c r="G183" s="32" t="s">
        <v>26</v>
      </c>
      <c r="H183" s="40">
        <v>3.99</v>
      </c>
      <c r="I183" s="32"/>
      <c r="J183" s="35">
        <f>VLOOKUP(B183,'[1]remainderlist'!$B$1:$I$1139,8,FALSE)</f>
        <v>85</v>
      </c>
      <c r="K183" s="33" t="s">
        <v>521</v>
      </c>
      <c r="L183" s="32">
        <v>28</v>
      </c>
      <c r="M183" s="32" t="str">
        <f>"9781402260933"</f>
        <v>9781402260933</v>
      </c>
      <c r="N183" s="36">
        <v>22.5</v>
      </c>
      <c r="O183" s="20" t="s">
        <v>506</v>
      </c>
      <c r="P183" s="19"/>
      <c r="Q183" s="19"/>
    </row>
    <row r="184" spans="1:17" s="10" customFormat="1" ht="15">
      <c r="A184" s="45"/>
      <c r="B184" s="52" t="s">
        <v>1363</v>
      </c>
      <c r="C184" s="6"/>
      <c r="D184" s="6"/>
      <c r="E184" s="6"/>
      <c r="F184" s="7"/>
      <c r="G184" s="7"/>
      <c r="H184" s="44"/>
      <c r="I184" s="8"/>
      <c r="J184" s="7"/>
      <c r="K184" s="6"/>
      <c r="L184" s="7"/>
      <c r="M184" s="9"/>
      <c r="N184" s="25"/>
      <c r="O184" s="11"/>
      <c r="P184" s="30"/>
      <c r="Q184" s="30"/>
    </row>
    <row r="185" spans="1:17" ht="29.5" customHeight="1">
      <c r="A185" s="32"/>
      <c r="B185" s="56" t="str">
        <f>"0201452118866"</f>
        <v>0201452118866</v>
      </c>
      <c r="C185" s="33" t="s">
        <v>1377</v>
      </c>
      <c r="D185" s="34" t="s">
        <v>687</v>
      </c>
      <c r="E185" s="34" t="s">
        <v>688</v>
      </c>
      <c r="F185" s="32" t="s">
        <v>248</v>
      </c>
      <c r="G185" s="32" t="s">
        <v>8</v>
      </c>
      <c r="H185" s="40">
        <v>2.99</v>
      </c>
      <c r="I185" s="32"/>
      <c r="J185" s="35">
        <f>VLOOKUP(B185,'[1]remainderlist'!$B$1:$I$1139,8,FALSE)</f>
        <v>230</v>
      </c>
      <c r="K185" s="33" t="s">
        <v>509</v>
      </c>
      <c r="L185" s="32">
        <v>72</v>
      </c>
      <c r="M185" s="32" t="str">
        <f>"9781452118864"</f>
        <v>9781452118864</v>
      </c>
      <c r="N185" s="36">
        <v>15.5</v>
      </c>
      <c r="O185" s="20" t="s">
        <v>506</v>
      </c>
      <c r="P185" s="19"/>
      <c r="Q185" s="19"/>
    </row>
    <row r="186" spans="1:17" ht="29.5" customHeight="1">
      <c r="A186" s="32"/>
      <c r="B186" s="56" t="str">
        <f>"0201423636467"</f>
        <v>0201423636467</v>
      </c>
      <c r="C186" s="33" t="s">
        <v>766</v>
      </c>
      <c r="D186" s="34" t="s">
        <v>771</v>
      </c>
      <c r="E186" s="34" t="s">
        <v>772</v>
      </c>
      <c r="F186" s="32" t="s">
        <v>202</v>
      </c>
      <c r="G186" s="32" t="s">
        <v>8</v>
      </c>
      <c r="H186" s="40">
        <v>2.5</v>
      </c>
      <c r="I186" s="32"/>
      <c r="J186" s="35">
        <f>VLOOKUP(B186,'[1]remainderlist'!$B$1:$I$1139,8,FALSE)</f>
        <v>400</v>
      </c>
      <c r="K186" s="33" t="s">
        <v>643</v>
      </c>
      <c r="L186" s="32">
        <v>45</v>
      </c>
      <c r="M186" s="32" t="str">
        <f>"9781423636465"</f>
        <v>9781423636465</v>
      </c>
      <c r="N186" s="36">
        <v>13.99</v>
      </c>
      <c r="O186" s="20" t="s">
        <v>506</v>
      </c>
      <c r="P186" s="19"/>
      <c r="Q186" s="19"/>
    </row>
    <row r="187" spans="1:17" ht="29.5" customHeight="1">
      <c r="A187" s="32"/>
      <c r="B187" s="56" t="str">
        <f>"0201423639680"</f>
        <v>0201423639680</v>
      </c>
      <c r="C187" s="33" t="s">
        <v>766</v>
      </c>
      <c r="D187" s="34" t="s">
        <v>1150</v>
      </c>
      <c r="E187" s="34" t="s">
        <v>1151</v>
      </c>
      <c r="F187" s="32" t="s">
        <v>202</v>
      </c>
      <c r="G187" s="32" t="s">
        <v>8</v>
      </c>
      <c r="H187" s="40">
        <v>2.99</v>
      </c>
      <c r="I187" s="32"/>
      <c r="J187" s="35">
        <f>VLOOKUP(B187,'[1]remainderlist'!$B$1:$I$1139,8,FALSE)</f>
        <v>2068</v>
      </c>
      <c r="K187" s="33" t="s">
        <v>868</v>
      </c>
      <c r="L187" s="32">
        <v>45</v>
      </c>
      <c r="M187" s="32" t="str">
        <f>"9781423639688"</f>
        <v>9781423639688</v>
      </c>
      <c r="N187" s="36">
        <v>12.99</v>
      </c>
      <c r="O187" s="20" t="s">
        <v>506</v>
      </c>
      <c r="P187" s="19"/>
      <c r="Q187" s="19"/>
    </row>
    <row r="188" spans="1:17" ht="29.5" customHeight="1">
      <c r="A188" s="32"/>
      <c r="B188" s="56" t="str">
        <f>"0201452147347"</f>
        <v>0201452147347</v>
      </c>
      <c r="C188" s="33" t="s">
        <v>1377</v>
      </c>
      <c r="D188" s="34" t="s">
        <v>924</v>
      </c>
      <c r="E188" s="34" t="s">
        <v>506</v>
      </c>
      <c r="F188" s="32" t="s">
        <v>303</v>
      </c>
      <c r="G188" s="32" t="s">
        <v>8</v>
      </c>
      <c r="H188" s="40">
        <v>3.99</v>
      </c>
      <c r="I188" s="32"/>
      <c r="J188" s="35">
        <f>VLOOKUP(B188,'[1]remainderlist'!$B$1:$I$1139,8,FALSE)</f>
        <v>277</v>
      </c>
      <c r="K188" s="33" t="s">
        <v>905</v>
      </c>
      <c r="L188" s="32">
        <v>40</v>
      </c>
      <c r="M188" s="32" t="str">
        <f>"9781452147345"</f>
        <v>9781452147345</v>
      </c>
      <c r="N188" s="36">
        <v>18.5</v>
      </c>
      <c r="O188" s="20" t="s">
        <v>506</v>
      </c>
      <c r="P188" s="19"/>
      <c r="Q188" s="19"/>
    </row>
    <row r="189" spans="1:17" ht="29.5" customHeight="1">
      <c r="A189" s="32"/>
      <c r="B189" s="56" t="str">
        <f>"0201741176225"</f>
        <v>0201741176225</v>
      </c>
      <c r="C189" s="33" t="s">
        <v>1345</v>
      </c>
      <c r="D189" s="34" t="s">
        <v>1229</v>
      </c>
      <c r="E189" s="34" t="s">
        <v>506</v>
      </c>
      <c r="F189" s="32" t="s">
        <v>348</v>
      </c>
      <c r="G189" s="32" t="s">
        <v>8</v>
      </c>
      <c r="H189" s="40">
        <v>4.99</v>
      </c>
      <c r="I189" s="32"/>
      <c r="J189" s="35">
        <f>VLOOKUP(B189,'[1]remainderlist'!$B$1:$I$1139,8,FALSE)</f>
        <v>200</v>
      </c>
      <c r="K189" s="33" t="s">
        <v>1221</v>
      </c>
      <c r="L189" s="32">
        <v>40</v>
      </c>
      <c r="M189" s="32" t="str">
        <f>"9781741176223"</f>
        <v>9781741176223</v>
      </c>
      <c r="N189" s="36">
        <v>20.99</v>
      </c>
      <c r="O189" s="20" t="s">
        <v>506</v>
      </c>
      <c r="P189" s="19"/>
      <c r="Q189" s="19"/>
    </row>
    <row r="190" spans="1:17" ht="29.5" customHeight="1">
      <c r="A190" s="32"/>
      <c r="B190" s="56" t="str">
        <f>"0201452140027"</f>
        <v>0201452140027</v>
      </c>
      <c r="C190" s="33" t="s">
        <v>1377</v>
      </c>
      <c r="D190" s="34" t="s">
        <v>816</v>
      </c>
      <c r="E190" s="34" t="s">
        <v>817</v>
      </c>
      <c r="F190" s="32" t="s">
        <v>295</v>
      </c>
      <c r="G190" s="32" t="s">
        <v>6</v>
      </c>
      <c r="H190" s="40">
        <v>3.99</v>
      </c>
      <c r="I190" s="32"/>
      <c r="J190" s="35">
        <f>VLOOKUP(B190,'[1]remainderlist'!$B$1:$I$1139,8,FALSE)</f>
        <v>254</v>
      </c>
      <c r="K190" s="33" t="s">
        <v>807</v>
      </c>
      <c r="L190" s="32">
        <v>42</v>
      </c>
      <c r="M190" s="32" t="str">
        <f>"9781452140025"</f>
        <v>9781452140025</v>
      </c>
      <c r="N190" s="36">
        <v>18.5</v>
      </c>
      <c r="O190" s="20" t="s">
        <v>506</v>
      </c>
      <c r="P190" s="19"/>
      <c r="Q190" s="19"/>
    </row>
    <row r="191" spans="1:17" ht="29.5" customHeight="1">
      <c r="A191" s="32"/>
      <c r="B191" s="56" t="str">
        <f>"0221402264689"</f>
        <v>0221402264689</v>
      </c>
      <c r="C191" s="33" t="s">
        <v>511</v>
      </c>
      <c r="D191" s="34" t="s">
        <v>524</v>
      </c>
      <c r="E191" s="34" t="s">
        <v>525</v>
      </c>
      <c r="F191" s="32" t="s">
        <v>479</v>
      </c>
      <c r="G191" s="32" t="s">
        <v>6</v>
      </c>
      <c r="H191" s="40">
        <v>2.99</v>
      </c>
      <c r="I191" s="32"/>
      <c r="J191" s="35">
        <f>VLOOKUP(B191,'[1]remainderlist'!$B$1:$I$1139,8,FALSE)</f>
        <v>604</v>
      </c>
      <c r="K191" s="33" t="s">
        <v>526</v>
      </c>
      <c r="L191" s="32">
        <v>40</v>
      </c>
      <c r="M191" s="32" t="str">
        <f>"9781402264689"</f>
        <v>9781402264689</v>
      </c>
      <c r="N191" s="36">
        <v>15.5</v>
      </c>
      <c r="O191" s="20" t="s">
        <v>506</v>
      </c>
      <c r="P191" s="19"/>
      <c r="Q191" s="19"/>
    </row>
    <row r="192" spans="1:17" ht="29.5" customHeight="1">
      <c r="A192" s="32"/>
      <c r="B192" s="56" t="str">
        <f>"0201849498403"</f>
        <v>0201849498403</v>
      </c>
      <c r="C192" s="33" t="s">
        <v>1344</v>
      </c>
      <c r="D192" s="34" t="s">
        <v>1277</v>
      </c>
      <c r="E192" s="34" t="s">
        <v>1278</v>
      </c>
      <c r="F192" s="32" t="s">
        <v>412</v>
      </c>
      <c r="G192" s="32" t="s">
        <v>6</v>
      </c>
      <c r="H192" s="40">
        <v>5.24</v>
      </c>
      <c r="I192" s="37" t="s">
        <v>501</v>
      </c>
      <c r="J192" s="35">
        <f>VLOOKUP(B192,'[1]remainderlist'!$B$1:$I$1139,8,FALSE)</f>
        <v>140</v>
      </c>
      <c r="K192" s="33" t="s">
        <v>986</v>
      </c>
      <c r="L192" s="32">
        <v>28</v>
      </c>
      <c r="M192" s="32" t="str">
        <f>"9781849498401"</f>
        <v>9781849498401</v>
      </c>
      <c r="N192" s="36">
        <v>20.95</v>
      </c>
      <c r="O192" s="20" t="s">
        <v>506</v>
      </c>
      <c r="P192" s="19"/>
      <c r="Q192" s="19"/>
    </row>
    <row r="193" spans="1:17" ht="29.5" customHeight="1">
      <c r="A193" s="32"/>
      <c r="B193" s="56" t="str">
        <f>"0201743219999"</f>
        <v>0201743219999</v>
      </c>
      <c r="C193" s="33" t="s">
        <v>1342</v>
      </c>
      <c r="D193" s="34" t="s">
        <v>945</v>
      </c>
      <c r="E193" s="34" t="s">
        <v>946</v>
      </c>
      <c r="F193" s="32" t="s">
        <v>357</v>
      </c>
      <c r="G193" s="32" t="s">
        <v>8</v>
      </c>
      <c r="H193" s="40">
        <v>5.99</v>
      </c>
      <c r="I193" s="32"/>
      <c r="J193" s="35">
        <f>VLOOKUP(B193,'[1]remainderlist'!$B$1:$I$1139,8,FALSE)</f>
        <v>164</v>
      </c>
      <c r="K193" s="33" t="s">
        <v>509</v>
      </c>
      <c r="L193" s="32">
        <v>12</v>
      </c>
      <c r="M193" s="32" t="str">
        <f>"9781743219997"</f>
        <v>9781743219997</v>
      </c>
      <c r="N193" s="36">
        <v>27.99</v>
      </c>
      <c r="O193" s="20" t="s">
        <v>506</v>
      </c>
      <c r="P193" s="19"/>
      <c r="Q193" s="19"/>
    </row>
    <row r="194" spans="1:17" ht="29.5" customHeight="1">
      <c r="A194" s="32"/>
      <c r="B194" s="56" t="str">
        <f>"0201743604627"</f>
        <v>0201743604627</v>
      </c>
      <c r="C194" s="33" t="s">
        <v>1342</v>
      </c>
      <c r="D194" s="34" t="s">
        <v>961</v>
      </c>
      <c r="E194" s="34" t="s">
        <v>962</v>
      </c>
      <c r="F194" s="32" t="s">
        <v>358</v>
      </c>
      <c r="G194" s="32" t="s">
        <v>6</v>
      </c>
      <c r="H194" s="40">
        <v>2.99</v>
      </c>
      <c r="I194" s="32"/>
      <c r="J194" s="35">
        <f>VLOOKUP(B194,'[1]remainderlist'!$B$1:$I$1139,8,FALSE)</f>
        <v>447</v>
      </c>
      <c r="K194" s="33" t="s">
        <v>509</v>
      </c>
      <c r="L194" s="32">
        <v>56</v>
      </c>
      <c r="M194" s="32" t="str">
        <f>"9781743604625"</f>
        <v>9781743604625</v>
      </c>
      <c r="N194" s="36">
        <v>13.99</v>
      </c>
      <c r="O194" s="20" t="s">
        <v>506</v>
      </c>
      <c r="P194" s="19"/>
      <c r="Q194" s="19"/>
    </row>
    <row r="195" spans="1:17" ht="29.5" customHeight="1">
      <c r="A195" s="32"/>
      <c r="B195" s="56" t="str">
        <f>"0221402266737"</f>
        <v>0221402266737</v>
      </c>
      <c r="C195" s="33" t="s">
        <v>511</v>
      </c>
      <c r="D195" s="34" t="s">
        <v>577</v>
      </c>
      <c r="E195" s="34" t="s">
        <v>578</v>
      </c>
      <c r="F195" s="32" t="s">
        <v>483</v>
      </c>
      <c r="G195" s="32" t="s">
        <v>6</v>
      </c>
      <c r="H195" s="40">
        <v>2.99</v>
      </c>
      <c r="I195" s="32"/>
      <c r="J195" s="35">
        <f>VLOOKUP(B195,'[1]remainderlist'!$B$1:$I$1139,8,FALSE)</f>
        <v>141</v>
      </c>
      <c r="K195" s="33" t="s">
        <v>526</v>
      </c>
      <c r="L195" s="32">
        <v>36</v>
      </c>
      <c r="M195" s="32" t="str">
        <f>"9781402266737"</f>
        <v>9781402266737</v>
      </c>
      <c r="N195" s="36">
        <v>13.99</v>
      </c>
      <c r="O195" s="20" t="s">
        <v>506</v>
      </c>
      <c r="P195" s="19"/>
      <c r="Q195" s="19"/>
    </row>
    <row r="196" spans="1:17" ht="29.5" customHeight="1">
      <c r="A196" s="32"/>
      <c r="B196" s="56" t="str">
        <f>"0221402264658"</f>
        <v>0221402264658</v>
      </c>
      <c r="C196" s="33" t="s">
        <v>511</v>
      </c>
      <c r="D196" s="34" t="s">
        <v>588</v>
      </c>
      <c r="E196" s="34" t="s">
        <v>589</v>
      </c>
      <c r="F196" s="32" t="s">
        <v>478</v>
      </c>
      <c r="G196" s="32" t="s">
        <v>6</v>
      </c>
      <c r="H196" s="40">
        <v>1.99</v>
      </c>
      <c r="I196" s="32"/>
      <c r="J196" s="35">
        <f>VLOOKUP(B196,'[1]remainderlist'!$B$1:$I$1139,8,FALSE)</f>
        <v>304</v>
      </c>
      <c r="K196" s="33" t="s">
        <v>526</v>
      </c>
      <c r="L196" s="32">
        <v>48</v>
      </c>
      <c r="M196" s="32" t="str">
        <f>"9781402264658"</f>
        <v>9781402264658</v>
      </c>
      <c r="N196" s="36">
        <v>13.99</v>
      </c>
      <c r="O196" s="20" t="s">
        <v>506</v>
      </c>
      <c r="P196" s="19"/>
      <c r="Q196" s="19"/>
    </row>
    <row r="197" spans="1:17" ht="29.5" customHeight="1">
      <c r="A197" s="32"/>
      <c r="B197" s="56" t="str">
        <f>"0201452144759"</f>
        <v>0201452144759</v>
      </c>
      <c r="C197" s="33" t="s">
        <v>1377</v>
      </c>
      <c r="D197" s="34" t="s">
        <v>1183</v>
      </c>
      <c r="E197" s="34" t="s">
        <v>506</v>
      </c>
      <c r="F197" s="32" t="s">
        <v>260</v>
      </c>
      <c r="G197" s="32" t="s">
        <v>8</v>
      </c>
      <c r="H197" s="40">
        <v>2.99</v>
      </c>
      <c r="I197" s="32"/>
      <c r="J197" s="35">
        <f>VLOOKUP(B197,'[1]remainderlist'!$B$1:$I$1139,8,FALSE)</f>
        <v>169</v>
      </c>
      <c r="K197" s="33" t="s">
        <v>905</v>
      </c>
      <c r="L197" s="32">
        <v>40</v>
      </c>
      <c r="M197" s="32" t="str">
        <f>"9781452144757"</f>
        <v>9781452144757</v>
      </c>
      <c r="N197" s="36">
        <v>13.95</v>
      </c>
      <c r="O197" s="20" t="s">
        <v>506</v>
      </c>
      <c r="P197" s="19"/>
      <c r="Q197" s="19"/>
    </row>
    <row r="198" spans="1:17" ht="29.5" customHeight="1">
      <c r="A198" s="32"/>
      <c r="B198" s="56" t="str">
        <f>"0201423635545"</f>
        <v>0201423635545</v>
      </c>
      <c r="C198" s="33" t="s">
        <v>766</v>
      </c>
      <c r="D198" s="34" t="s">
        <v>800</v>
      </c>
      <c r="E198" s="34" t="s">
        <v>801</v>
      </c>
      <c r="F198" s="32" t="s">
        <v>198</v>
      </c>
      <c r="G198" s="32" t="s">
        <v>8</v>
      </c>
      <c r="H198" s="40">
        <v>3.25</v>
      </c>
      <c r="I198" s="32"/>
      <c r="J198" s="35">
        <f>VLOOKUP(B198,'[1]remainderlist'!$B$1:$I$1139,8,FALSE)</f>
        <v>120</v>
      </c>
      <c r="K198" s="33" t="s">
        <v>643</v>
      </c>
      <c r="L198" s="32">
        <v>30</v>
      </c>
      <c r="M198" s="32" t="str">
        <f>"9781423635543"</f>
        <v>9781423635543</v>
      </c>
      <c r="N198" s="36">
        <v>18.5</v>
      </c>
      <c r="O198" s="20" t="s">
        <v>506</v>
      </c>
      <c r="P198" s="19"/>
      <c r="Q198" s="19"/>
    </row>
    <row r="199" spans="1:17" ht="29.5" customHeight="1">
      <c r="A199" s="32"/>
      <c r="B199" s="56" t="str">
        <f>"0201452138925"</f>
        <v>0201452138925</v>
      </c>
      <c r="C199" s="33" t="s">
        <v>1377</v>
      </c>
      <c r="D199" s="34" t="s">
        <v>992</v>
      </c>
      <c r="E199" s="34" t="s">
        <v>506</v>
      </c>
      <c r="F199" s="32" t="s">
        <v>253</v>
      </c>
      <c r="G199" s="32" t="s">
        <v>8</v>
      </c>
      <c r="H199" s="40">
        <v>2.99</v>
      </c>
      <c r="I199" s="32"/>
      <c r="J199" s="35">
        <f>VLOOKUP(B199,'[1]remainderlist'!$B$1:$I$1139,8,FALSE)</f>
        <v>299</v>
      </c>
      <c r="K199" s="33" t="s">
        <v>986</v>
      </c>
      <c r="L199" s="32">
        <v>60</v>
      </c>
      <c r="M199" s="32" t="str">
        <f>"9781452138923"</f>
        <v>9781452138923</v>
      </c>
      <c r="N199" s="36">
        <v>13.95</v>
      </c>
      <c r="O199" s="20" t="s">
        <v>506</v>
      </c>
      <c r="P199" s="19"/>
      <c r="Q199" s="19"/>
    </row>
    <row r="200" spans="1:17" s="10" customFormat="1" ht="15">
      <c r="A200" s="45"/>
      <c r="B200" s="52" t="s">
        <v>1364</v>
      </c>
      <c r="C200" s="6"/>
      <c r="D200" s="6"/>
      <c r="E200" s="6"/>
      <c r="F200" s="7"/>
      <c r="G200" s="7"/>
      <c r="H200" s="44"/>
      <c r="I200" s="8"/>
      <c r="J200" s="7"/>
      <c r="K200" s="6"/>
      <c r="L200" s="7"/>
      <c r="M200" s="9"/>
      <c r="N200" s="25"/>
      <c r="O200" s="11"/>
      <c r="P200" s="30"/>
      <c r="Q200" s="30"/>
    </row>
    <row r="201" spans="1:17" ht="29.5" customHeight="1">
      <c r="A201" s="32"/>
      <c r="B201" s="56" t="str">
        <f>"0221402265310"</f>
        <v>0221402265310</v>
      </c>
      <c r="C201" s="33" t="s">
        <v>511</v>
      </c>
      <c r="D201" s="34" t="s">
        <v>619</v>
      </c>
      <c r="E201" s="34" t="s">
        <v>620</v>
      </c>
      <c r="F201" s="32" t="s">
        <v>480</v>
      </c>
      <c r="G201" s="32" t="s">
        <v>6</v>
      </c>
      <c r="H201" s="40">
        <v>3.99</v>
      </c>
      <c r="I201" s="32"/>
      <c r="J201" s="35">
        <f>VLOOKUP(B201,'[1]remainderlist'!$B$1:$I$1139,8,FALSE)</f>
        <v>198</v>
      </c>
      <c r="K201" s="33" t="s">
        <v>526</v>
      </c>
      <c r="L201" s="32">
        <v>32</v>
      </c>
      <c r="M201" s="32" t="str">
        <f>"9781402265310"</f>
        <v>9781402265310</v>
      </c>
      <c r="N201" s="36">
        <v>26.99</v>
      </c>
      <c r="O201" s="20" t="s">
        <v>506</v>
      </c>
      <c r="P201" s="19"/>
      <c r="Q201" s="19"/>
    </row>
    <row r="202" spans="1:17" ht="29.5" customHeight="1">
      <c r="A202" s="32"/>
      <c r="B202" s="56" t="str">
        <f>"0201452138475"</f>
        <v>0201452138475</v>
      </c>
      <c r="C202" s="33" t="s">
        <v>1377</v>
      </c>
      <c r="D202" s="34" t="s">
        <v>879</v>
      </c>
      <c r="E202" s="34" t="s">
        <v>880</v>
      </c>
      <c r="F202" s="32" t="s">
        <v>288</v>
      </c>
      <c r="G202" s="32" t="s">
        <v>6</v>
      </c>
      <c r="H202" s="40">
        <v>3.99</v>
      </c>
      <c r="I202" s="32"/>
      <c r="J202" s="35">
        <f>VLOOKUP(B202,'[1]remainderlist'!$B$1:$I$1139,8,FALSE)</f>
        <v>99</v>
      </c>
      <c r="K202" s="33" t="s">
        <v>807</v>
      </c>
      <c r="L202" s="32">
        <v>40</v>
      </c>
      <c r="M202" s="32" t="str">
        <f>"9781452138473"</f>
        <v>9781452138473</v>
      </c>
      <c r="N202" s="36">
        <v>20.95</v>
      </c>
      <c r="O202" s="20" t="s">
        <v>506</v>
      </c>
      <c r="P202" s="19"/>
      <c r="Q202" s="19"/>
    </row>
    <row r="203" spans="1:17" s="10" customFormat="1" ht="15">
      <c r="A203" s="45"/>
      <c r="B203" s="52" t="s">
        <v>1366</v>
      </c>
      <c r="C203" s="6"/>
      <c r="D203" s="6"/>
      <c r="E203" s="6"/>
      <c r="F203" s="7"/>
      <c r="G203" s="7"/>
      <c r="H203" s="44"/>
      <c r="I203" s="8"/>
      <c r="J203" s="7"/>
      <c r="K203" s="6"/>
      <c r="L203" s="7"/>
      <c r="M203" s="9"/>
      <c r="N203" s="25"/>
      <c r="O203" s="11"/>
      <c r="P203" s="30"/>
      <c r="Q203" s="30"/>
    </row>
    <row r="204" spans="1:17" ht="29.5" customHeight="1">
      <c r="A204" s="32"/>
      <c r="B204" s="56" t="str">
        <f>"0221927958445"</f>
        <v>0221927958445</v>
      </c>
      <c r="C204" s="33" t="s">
        <v>1341</v>
      </c>
      <c r="D204" s="34" t="s">
        <v>1330</v>
      </c>
      <c r="E204" s="34" t="s">
        <v>1331</v>
      </c>
      <c r="F204" s="32" t="s">
        <v>500</v>
      </c>
      <c r="G204" s="32" t="s">
        <v>6</v>
      </c>
      <c r="H204" s="40">
        <v>5.25</v>
      </c>
      <c r="I204" s="37" t="s">
        <v>501</v>
      </c>
      <c r="J204" s="35">
        <f>VLOOKUP(B204,'[1]remainderlist'!$B$1:$I$1139,8,FALSE)</f>
        <v>331</v>
      </c>
      <c r="K204" s="33" t="s">
        <v>868</v>
      </c>
      <c r="L204" s="32">
        <v>36</v>
      </c>
      <c r="M204" s="32" t="str">
        <f>"9781927958445"</f>
        <v>9781927958445</v>
      </c>
      <c r="N204" s="36">
        <v>21</v>
      </c>
      <c r="O204" s="20" t="s">
        <v>506</v>
      </c>
      <c r="P204" s="19"/>
      <c r="Q204" s="19"/>
    </row>
    <row r="205" spans="1:17" ht="29.5" customHeight="1">
      <c r="A205" s="32"/>
      <c r="B205" s="56" t="str">
        <f>"0201616893943"</f>
        <v>0201616893943</v>
      </c>
      <c r="C205" s="33" t="s">
        <v>1380</v>
      </c>
      <c r="D205" s="34" t="s">
        <v>1309</v>
      </c>
      <c r="E205" s="34" t="s">
        <v>1310</v>
      </c>
      <c r="F205" s="32" t="s">
        <v>334</v>
      </c>
      <c r="G205" s="32" t="s">
        <v>8</v>
      </c>
      <c r="H205" s="40">
        <v>14.25</v>
      </c>
      <c r="I205" s="37" t="s">
        <v>501</v>
      </c>
      <c r="J205" s="35">
        <f>VLOOKUP(B205,'[1]remainderlist'!$B$1:$I$1139,8,FALSE)</f>
        <v>48</v>
      </c>
      <c r="K205" s="33" t="s">
        <v>986</v>
      </c>
      <c r="L205" s="32">
        <v>16</v>
      </c>
      <c r="M205" s="32" t="str">
        <f>"9781616893941"</f>
        <v>9781616893941</v>
      </c>
      <c r="N205" s="36">
        <v>57</v>
      </c>
      <c r="O205" s="20" t="s">
        <v>506</v>
      </c>
      <c r="P205" s="19"/>
      <c r="Q205" s="19"/>
    </row>
    <row r="206" spans="1:17" ht="29.5" customHeight="1">
      <c r="A206" s="32"/>
      <c r="B206" s="56" t="str">
        <f>"0201780673204"</f>
        <v>0201780673204</v>
      </c>
      <c r="C206" s="33" t="s">
        <v>1343</v>
      </c>
      <c r="D206" s="34" t="s">
        <v>691</v>
      </c>
      <c r="E206" s="34" t="s">
        <v>506</v>
      </c>
      <c r="F206" s="32" t="s">
        <v>371</v>
      </c>
      <c r="G206" s="32" t="s">
        <v>6</v>
      </c>
      <c r="H206" s="40">
        <v>5.99</v>
      </c>
      <c r="I206" s="32"/>
      <c r="J206" s="35">
        <f>VLOOKUP(B206,'[1]remainderlist'!$B$1:$I$1139,8,FALSE)</f>
        <v>50</v>
      </c>
      <c r="K206" s="33" t="s">
        <v>647</v>
      </c>
      <c r="L206" s="32">
        <v>20</v>
      </c>
      <c r="M206" s="32" t="str">
        <f>"9781780673202"</f>
        <v>9781780673202</v>
      </c>
      <c r="N206" s="36">
        <v>27.95</v>
      </c>
      <c r="O206" s="20" t="s">
        <v>506</v>
      </c>
      <c r="P206" s="19"/>
      <c r="Q206" s="19"/>
    </row>
    <row r="207" spans="1:17" ht="29.5" customHeight="1">
      <c r="A207" s="32"/>
      <c r="B207" s="56" t="str">
        <f>"0201423630687"</f>
        <v>0201423630687</v>
      </c>
      <c r="C207" s="33" t="s">
        <v>766</v>
      </c>
      <c r="D207" s="34" t="s">
        <v>1199</v>
      </c>
      <c r="E207" s="34" t="s">
        <v>506</v>
      </c>
      <c r="F207" s="32" t="s">
        <v>187</v>
      </c>
      <c r="G207" s="32" t="s">
        <v>8</v>
      </c>
      <c r="H207" s="40">
        <v>7.99</v>
      </c>
      <c r="I207" s="32"/>
      <c r="J207" s="35">
        <f>VLOOKUP(B207,'[1]remainderlist'!$B$1:$I$1139,8,FALSE)</f>
        <v>69</v>
      </c>
      <c r="K207" s="33" t="s">
        <v>576</v>
      </c>
      <c r="L207" s="32">
        <v>16</v>
      </c>
      <c r="M207" s="32" t="str">
        <f>"9781423630685"</f>
        <v>9781423630685</v>
      </c>
      <c r="N207" s="36">
        <v>42</v>
      </c>
      <c r="O207" s="20" t="s">
        <v>506</v>
      </c>
      <c r="P207" s="19"/>
      <c r="Q207" s="19"/>
    </row>
    <row r="208" spans="1:17" s="10" customFormat="1" ht="15">
      <c r="A208" s="45"/>
      <c r="B208" s="52" t="s">
        <v>1367</v>
      </c>
      <c r="C208" s="6"/>
      <c r="D208" s="6"/>
      <c r="E208" s="6"/>
      <c r="F208" s="7"/>
      <c r="G208" s="7"/>
      <c r="H208" s="44"/>
      <c r="I208" s="8"/>
      <c r="J208" s="7"/>
      <c r="K208" s="6"/>
      <c r="L208" s="7"/>
      <c r="M208" s="9"/>
      <c r="N208" s="25"/>
      <c r="O208" s="11"/>
      <c r="P208" s="30"/>
      <c r="Q208" s="30"/>
    </row>
    <row r="209" spans="1:17" ht="29.5" customHeight="1">
      <c r="A209" s="32"/>
      <c r="B209" s="56" t="str">
        <f>"0201743791556"</f>
        <v>0201743791556</v>
      </c>
      <c r="C209" s="33" t="s">
        <v>1345</v>
      </c>
      <c r="D209" s="34" t="s">
        <v>1230</v>
      </c>
      <c r="E209" s="34" t="s">
        <v>1231</v>
      </c>
      <c r="F209" s="32" t="s">
        <v>361</v>
      </c>
      <c r="G209" s="32" t="s">
        <v>8</v>
      </c>
      <c r="H209" s="40">
        <v>4.99</v>
      </c>
      <c r="I209" s="32"/>
      <c r="J209" s="35">
        <f>VLOOKUP(B209,'[1]remainderlist'!$B$1:$I$1139,8,FALSE)</f>
        <v>240</v>
      </c>
      <c r="K209" s="33" t="s">
        <v>986</v>
      </c>
      <c r="L209" s="32">
        <v>40</v>
      </c>
      <c r="M209" s="32" t="str">
        <f>"9781743791554"</f>
        <v>9781743791554</v>
      </c>
      <c r="N209" s="36">
        <v>20.99</v>
      </c>
      <c r="O209" s="20" t="s">
        <v>506</v>
      </c>
      <c r="P209" s="19"/>
      <c r="Q209" s="19"/>
    </row>
    <row r="210" spans="1:17" ht="29.5" customHeight="1">
      <c r="A210" s="32"/>
      <c r="B210" s="56" t="str">
        <f>"0221743218457"</f>
        <v>0221743218457</v>
      </c>
      <c r="C210" s="33" t="s">
        <v>1342</v>
      </c>
      <c r="D210" s="34" t="s">
        <v>937</v>
      </c>
      <c r="E210" s="34" t="s">
        <v>506</v>
      </c>
      <c r="F210" s="32" t="s">
        <v>353</v>
      </c>
      <c r="G210" s="32" t="s">
        <v>6</v>
      </c>
      <c r="H210" s="40">
        <v>3.99</v>
      </c>
      <c r="I210" s="32"/>
      <c r="J210" s="35">
        <f>VLOOKUP(B210,'[1]remainderlist'!$B$1:$I$1139,8,FALSE)</f>
        <v>352</v>
      </c>
      <c r="K210" s="33" t="s">
        <v>647</v>
      </c>
      <c r="L210" s="32">
        <v>48</v>
      </c>
      <c r="M210" s="32" t="str">
        <f>"9781743218457"</f>
        <v>9781743218457</v>
      </c>
      <c r="N210" s="36">
        <v>20.99</v>
      </c>
      <c r="O210" s="20" t="s">
        <v>506</v>
      </c>
      <c r="P210" s="19"/>
      <c r="Q210" s="19"/>
    </row>
    <row r="211" spans="1:17" ht="29.5" customHeight="1">
      <c r="A211" s="32"/>
      <c r="B211" s="56" t="str">
        <f>"0201423632315"</f>
        <v>0201423632315</v>
      </c>
      <c r="C211" s="33" t="s">
        <v>766</v>
      </c>
      <c r="D211" s="34" t="s">
        <v>802</v>
      </c>
      <c r="E211" s="34" t="s">
        <v>803</v>
      </c>
      <c r="F211" s="32" t="s">
        <v>190</v>
      </c>
      <c r="G211" s="32" t="s">
        <v>6</v>
      </c>
      <c r="H211" s="40">
        <v>4.75</v>
      </c>
      <c r="I211" s="32"/>
      <c r="J211" s="35">
        <f>VLOOKUP(B211,'[1]remainderlist'!$B$1:$I$1139,8,FALSE)</f>
        <v>135</v>
      </c>
      <c r="K211" s="33" t="s">
        <v>615</v>
      </c>
      <c r="L211" s="32">
        <v>56</v>
      </c>
      <c r="M211" s="32" t="str">
        <f>"9781423632313"</f>
        <v>9781423632313</v>
      </c>
      <c r="N211" s="36">
        <v>26.99</v>
      </c>
      <c r="O211" s="20" t="s">
        <v>506</v>
      </c>
      <c r="P211" s="19"/>
      <c r="Q211" s="19"/>
    </row>
    <row r="212" spans="1:17" ht="29.5" customHeight="1">
      <c r="A212" s="32"/>
      <c r="B212" s="56" t="str">
        <f>"0201452139939"</f>
        <v>0201452139939</v>
      </c>
      <c r="C212" s="33" t="s">
        <v>1377</v>
      </c>
      <c r="D212" s="34" t="s">
        <v>1185</v>
      </c>
      <c r="E212" s="34" t="s">
        <v>1186</v>
      </c>
      <c r="F212" s="32" t="s">
        <v>293</v>
      </c>
      <c r="G212" s="32" t="s">
        <v>8</v>
      </c>
      <c r="H212" s="40">
        <v>4.99</v>
      </c>
      <c r="I212" s="32"/>
      <c r="J212" s="35">
        <f>VLOOKUP(B212,'[1]remainderlist'!$B$1:$I$1139,8,FALSE)</f>
        <v>120</v>
      </c>
      <c r="K212" s="33" t="s">
        <v>905</v>
      </c>
      <c r="L212" s="32">
        <v>20</v>
      </c>
      <c r="M212" s="32" t="str">
        <f>"9781452139937"</f>
        <v>9781452139937</v>
      </c>
      <c r="N212" s="36">
        <v>23.95</v>
      </c>
      <c r="O212" s="20" t="s">
        <v>506</v>
      </c>
      <c r="P212" s="19"/>
      <c r="Q212" s="19"/>
    </row>
    <row r="213" spans="1:17" s="10" customFormat="1" ht="15">
      <c r="A213" s="45"/>
      <c r="B213" s="52" t="s">
        <v>1365</v>
      </c>
      <c r="C213" s="6"/>
      <c r="D213" s="6"/>
      <c r="E213" s="6"/>
      <c r="F213" s="7"/>
      <c r="G213" s="7"/>
      <c r="H213" s="44"/>
      <c r="I213" s="8"/>
      <c r="J213" s="7"/>
      <c r="K213" s="6"/>
      <c r="L213" s="7"/>
      <c r="M213" s="9"/>
      <c r="N213" s="25"/>
      <c r="O213" s="11"/>
      <c r="P213" s="30"/>
      <c r="Q213" s="30"/>
    </row>
    <row r="214" spans="1:17" ht="29.5" customHeight="1">
      <c r="A214" s="32"/>
      <c r="B214" s="56" t="str">
        <f>"0201452141956"</f>
        <v>0201452141956</v>
      </c>
      <c r="C214" s="33" t="s">
        <v>1377</v>
      </c>
      <c r="D214" s="34" t="s">
        <v>915</v>
      </c>
      <c r="E214" s="34" t="s">
        <v>916</v>
      </c>
      <c r="F214" s="32" t="s">
        <v>301</v>
      </c>
      <c r="G214" s="32" t="s">
        <v>8</v>
      </c>
      <c r="H214" s="40">
        <v>4.99</v>
      </c>
      <c r="I214" s="32"/>
      <c r="J214" s="35">
        <f>VLOOKUP(B214,'[1]remainderlist'!$B$1:$I$1139,8,FALSE)</f>
        <v>139</v>
      </c>
      <c r="K214" s="33" t="s">
        <v>868</v>
      </c>
      <c r="L214" s="32">
        <v>32</v>
      </c>
      <c r="M214" s="32" t="str">
        <f>"9781452141954"</f>
        <v>9781452141954</v>
      </c>
      <c r="N214" s="36">
        <v>23.95</v>
      </c>
      <c r="O214" s="20" t="s">
        <v>506</v>
      </c>
      <c r="P214" s="19"/>
      <c r="Q214" s="19"/>
    </row>
    <row r="215" spans="1:17" s="10" customFormat="1" ht="15">
      <c r="A215" s="45"/>
      <c r="B215" s="52" t="s">
        <v>1368</v>
      </c>
      <c r="C215" s="6"/>
      <c r="D215" s="6"/>
      <c r="E215" s="6"/>
      <c r="F215" s="7"/>
      <c r="G215" s="7"/>
      <c r="H215" s="44"/>
      <c r="I215" s="8"/>
      <c r="J215" s="7"/>
      <c r="K215" s="6"/>
      <c r="L215" s="7"/>
      <c r="M215" s="9"/>
      <c r="N215" s="25"/>
      <c r="O215" s="11"/>
      <c r="P215" s="30"/>
      <c r="Q215" s="30"/>
    </row>
    <row r="216" spans="1:17" ht="29.5" customHeight="1">
      <c r="A216" s="32"/>
      <c r="B216" s="56" t="str">
        <f>"0201452141727"</f>
        <v>0201452141727</v>
      </c>
      <c r="C216" s="33" t="s">
        <v>1377</v>
      </c>
      <c r="D216" s="34" t="s">
        <v>991</v>
      </c>
      <c r="E216" s="34" t="s">
        <v>506</v>
      </c>
      <c r="F216" s="32" t="s">
        <v>299</v>
      </c>
      <c r="G216" s="32" t="s">
        <v>8</v>
      </c>
      <c r="H216" s="40">
        <v>5.99</v>
      </c>
      <c r="I216" s="32"/>
      <c r="J216" s="35">
        <f>VLOOKUP(B216,'[1]remainderlist'!$B$1:$I$1139,8,FALSE)</f>
        <v>210</v>
      </c>
      <c r="K216" s="33" t="s">
        <v>905</v>
      </c>
      <c r="L216" s="32">
        <v>30</v>
      </c>
      <c r="M216" s="32" t="str">
        <f>"9781452141725"</f>
        <v>9781452141725</v>
      </c>
      <c r="N216" s="36">
        <v>27.95</v>
      </c>
      <c r="O216" s="20" t="s">
        <v>506</v>
      </c>
      <c r="P216" s="19"/>
      <c r="Q216" s="19"/>
    </row>
    <row r="217" spans="1:17" ht="29.5" customHeight="1">
      <c r="A217" s="32"/>
      <c r="B217" s="56" t="str">
        <f>"0201423630595"</f>
        <v>0201423630595</v>
      </c>
      <c r="C217" s="33" t="s">
        <v>766</v>
      </c>
      <c r="D217" s="34" t="s">
        <v>798</v>
      </c>
      <c r="E217" s="34" t="s">
        <v>799</v>
      </c>
      <c r="F217" s="32" t="s">
        <v>186</v>
      </c>
      <c r="G217" s="32" t="s">
        <v>8</v>
      </c>
      <c r="H217" s="40">
        <v>6.25</v>
      </c>
      <c r="I217" s="32"/>
      <c r="J217" s="35">
        <f>VLOOKUP(B217,'[1]remainderlist'!$B$1:$I$1139,8,FALSE)</f>
        <v>100</v>
      </c>
      <c r="K217" s="33" t="s">
        <v>647</v>
      </c>
      <c r="L217" s="32">
        <v>30</v>
      </c>
      <c r="M217" s="32" t="str">
        <f>"9781423630593"</f>
        <v>9781423630593</v>
      </c>
      <c r="N217" s="36">
        <v>35.99</v>
      </c>
      <c r="O217" s="20" t="s">
        <v>506</v>
      </c>
      <c r="P217" s="19"/>
      <c r="Q217" s="19"/>
    </row>
    <row r="218" spans="1:17" ht="29.5" customHeight="1">
      <c r="A218" s="32"/>
      <c r="B218" s="56" t="str">
        <f>"0201616894674"</f>
        <v>0201616894674</v>
      </c>
      <c r="C218" s="33" t="s">
        <v>1380</v>
      </c>
      <c r="D218" s="34" t="s">
        <v>1315</v>
      </c>
      <c r="E218" s="34" t="s">
        <v>1316</v>
      </c>
      <c r="F218" s="32" t="s">
        <v>338</v>
      </c>
      <c r="G218" s="32" t="s">
        <v>6</v>
      </c>
      <c r="H218" s="40">
        <v>8.99</v>
      </c>
      <c r="I218" s="37" t="s">
        <v>501</v>
      </c>
      <c r="J218" s="35">
        <f>VLOOKUP(B218,'[1]remainderlist'!$B$1:$I$1139,8,FALSE)</f>
        <v>56</v>
      </c>
      <c r="K218" s="33" t="s">
        <v>905</v>
      </c>
      <c r="L218" s="32">
        <v>28</v>
      </c>
      <c r="M218" s="32" t="str">
        <f>"9781616894672"</f>
        <v>9781616894672</v>
      </c>
      <c r="N218" s="36">
        <v>35.95</v>
      </c>
      <c r="O218" s="20" t="s">
        <v>506</v>
      </c>
      <c r="P218" s="19"/>
      <c r="Q218" s="19"/>
    </row>
    <row r="219" spans="1:17" ht="29.5" customHeight="1">
      <c r="A219" s="32"/>
      <c r="B219" s="56" t="str">
        <f>"0201743218466"</f>
        <v>0201743218466</v>
      </c>
      <c r="C219" s="33" t="s">
        <v>1342</v>
      </c>
      <c r="D219" s="34" t="s">
        <v>719</v>
      </c>
      <c r="E219" s="34" t="s">
        <v>506</v>
      </c>
      <c r="F219" s="32" t="s">
        <v>349</v>
      </c>
      <c r="G219" s="32" t="s">
        <v>6</v>
      </c>
      <c r="H219" s="40">
        <v>4.99</v>
      </c>
      <c r="I219" s="32"/>
      <c r="J219" s="35">
        <f>VLOOKUP(B219,'[1]remainderlist'!$B$1:$I$1139,8,FALSE)</f>
        <v>504</v>
      </c>
      <c r="K219" s="33" t="s">
        <v>647</v>
      </c>
      <c r="L219" s="32">
        <v>36</v>
      </c>
      <c r="M219" s="32" t="str">
        <f>"9781743218464"</f>
        <v>9781743218464</v>
      </c>
      <c r="N219" s="36">
        <v>22.5</v>
      </c>
      <c r="O219" s="20" t="s">
        <v>506</v>
      </c>
      <c r="P219" s="19"/>
      <c r="Q219" s="19"/>
    </row>
    <row r="220" spans="1:17" ht="29.5" customHeight="1">
      <c r="A220" s="32"/>
      <c r="B220" s="56" t="str">
        <f>"0201743606980"</f>
        <v>0201743606980</v>
      </c>
      <c r="C220" s="33" t="s">
        <v>1342</v>
      </c>
      <c r="D220" s="34" t="s">
        <v>940</v>
      </c>
      <c r="E220" s="34" t="s">
        <v>939</v>
      </c>
      <c r="F220" s="32"/>
      <c r="G220" s="32" t="s">
        <v>61</v>
      </c>
      <c r="H220" s="40">
        <v>3.5</v>
      </c>
      <c r="I220" s="32"/>
      <c r="J220" s="35">
        <f>VLOOKUP(B220,'[1]remainderlist'!$B$1:$I$1139,8,FALSE)</f>
        <v>60</v>
      </c>
      <c r="K220" s="33" t="s">
        <v>807</v>
      </c>
      <c r="L220" s="32">
        <v>40</v>
      </c>
      <c r="M220" s="32" t="str">
        <f>"9781743606988"</f>
        <v>9781743606988</v>
      </c>
      <c r="N220" s="36">
        <v>13.99</v>
      </c>
      <c r="O220" s="20" t="s">
        <v>506</v>
      </c>
      <c r="P220" s="19"/>
      <c r="Q220" s="19"/>
    </row>
    <row r="221" spans="1:17" ht="29.5" customHeight="1">
      <c r="A221" s="32"/>
      <c r="B221" s="56" t="str">
        <f>"0201743607017"</f>
        <v>0201743607017</v>
      </c>
      <c r="C221" s="33" t="s">
        <v>1342</v>
      </c>
      <c r="D221" s="34" t="s">
        <v>942</v>
      </c>
      <c r="E221" s="34" t="s">
        <v>939</v>
      </c>
      <c r="F221" s="32"/>
      <c r="G221" s="32" t="s">
        <v>61</v>
      </c>
      <c r="H221" s="40">
        <v>3.5</v>
      </c>
      <c r="I221" s="32"/>
      <c r="J221" s="35">
        <f>VLOOKUP(B221,'[1]remainderlist'!$B$1:$I$1139,8,FALSE)</f>
        <v>160</v>
      </c>
      <c r="K221" s="33" t="s">
        <v>807</v>
      </c>
      <c r="L221" s="32">
        <v>40</v>
      </c>
      <c r="M221" s="32" t="str">
        <f>"9781743607015"</f>
        <v>9781743607015</v>
      </c>
      <c r="N221" s="36">
        <v>13.99</v>
      </c>
      <c r="O221" s="20" t="s">
        <v>506</v>
      </c>
      <c r="P221" s="19"/>
      <c r="Q221" s="19"/>
    </row>
    <row r="222" spans="1:17" ht="29.5" customHeight="1">
      <c r="A222" s="32"/>
      <c r="B222" s="56" t="str">
        <f>"0201743609288"</f>
        <v>0201743609288</v>
      </c>
      <c r="C222" s="33" t="s">
        <v>1342</v>
      </c>
      <c r="D222" s="34" t="s">
        <v>943</v>
      </c>
      <c r="E222" s="34" t="s">
        <v>939</v>
      </c>
      <c r="F222" s="32"/>
      <c r="G222" s="32" t="s">
        <v>61</v>
      </c>
      <c r="H222" s="40">
        <v>3.5</v>
      </c>
      <c r="I222" s="32"/>
      <c r="J222" s="35">
        <f>VLOOKUP(B222,'[1]remainderlist'!$B$1:$I$1139,8,FALSE)</f>
        <v>160</v>
      </c>
      <c r="K222" s="33" t="s">
        <v>868</v>
      </c>
      <c r="L222" s="32">
        <v>40</v>
      </c>
      <c r="M222" s="32" t="str">
        <f>"9781743609286"</f>
        <v>9781743609286</v>
      </c>
      <c r="N222" s="36">
        <v>13.99</v>
      </c>
      <c r="O222" s="20" t="s">
        <v>506</v>
      </c>
      <c r="P222" s="19"/>
      <c r="Q222" s="19"/>
    </row>
    <row r="223" spans="1:17" ht="29.5" customHeight="1">
      <c r="A223" s="32"/>
      <c r="B223" s="56" t="str">
        <f>"0201743609301"</f>
        <v>0201743609301</v>
      </c>
      <c r="C223" s="33" t="s">
        <v>1342</v>
      </c>
      <c r="D223" s="34" t="s">
        <v>952</v>
      </c>
      <c r="E223" s="34" t="s">
        <v>939</v>
      </c>
      <c r="F223" s="32"/>
      <c r="G223" s="32" t="s">
        <v>61</v>
      </c>
      <c r="H223" s="40">
        <v>3.5</v>
      </c>
      <c r="I223" s="32"/>
      <c r="J223" s="35">
        <f>VLOOKUP(B223,'[1]remainderlist'!$B$1:$I$1139,8,FALSE)</f>
        <v>240</v>
      </c>
      <c r="K223" s="33" t="s">
        <v>868</v>
      </c>
      <c r="L223" s="32">
        <v>40</v>
      </c>
      <c r="M223" s="32" t="str">
        <f>"9781743609309"</f>
        <v>9781743609309</v>
      </c>
      <c r="N223" s="36">
        <v>13.99</v>
      </c>
      <c r="O223" s="20" t="s">
        <v>506</v>
      </c>
      <c r="P223" s="19"/>
      <c r="Q223" s="19"/>
    </row>
    <row r="224" spans="1:17" ht="29.5" customHeight="1">
      <c r="A224" s="32"/>
      <c r="B224" s="56" t="str">
        <f>"0201743601640"</f>
        <v>0201743601640</v>
      </c>
      <c r="C224" s="33" t="s">
        <v>1342</v>
      </c>
      <c r="D224" s="34" t="s">
        <v>948</v>
      </c>
      <c r="E224" s="34" t="s">
        <v>949</v>
      </c>
      <c r="F224" s="32"/>
      <c r="G224" s="32" t="s">
        <v>8</v>
      </c>
      <c r="H224" s="40">
        <v>7.99</v>
      </c>
      <c r="I224" s="32"/>
      <c r="J224" s="35">
        <f>VLOOKUP(B224,'[1]remainderlist'!$B$1:$I$1139,8,FALSE)</f>
        <v>250</v>
      </c>
      <c r="K224" s="33" t="s">
        <v>509</v>
      </c>
      <c r="L224" s="32">
        <v>6</v>
      </c>
      <c r="M224" s="32" t="str">
        <f>"9781743601648"</f>
        <v>9781743601648</v>
      </c>
      <c r="N224" s="36">
        <v>41.99</v>
      </c>
      <c r="O224" s="20" t="s">
        <v>506</v>
      </c>
      <c r="P224" s="19"/>
      <c r="Q224" s="19"/>
    </row>
    <row r="225" spans="1:17" ht="29.5" customHeight="1">
      <c r="A225" s="32"/>
      <c r="B225" s="56" t="str">
        <f>"0201743609325"</f>
        <v>0201743609325</v>
      </c>
      <c r="C225" s="33" t="s">
        <v>1342</v>
      </c>
      <c r="D225" s="34" t="s">
        <v>954</v>
      </c>
      <c r="E225" s="34" t="s">
        <v>939</v>
      </c>
      <c r="F225" s="32"/>
      <c r="G225" s="32" t="s">
        <v>61</v>
      </c>
      <c r="H225" s="40">
        <v>3.5</v>
      </c>
      <c r="I225" s="32"/>
      <c r="J225" s="35">
        <f>VLOOKUP(B225,'[1]remainderlist'!$B$1:$I$1139,8,FALSE)</f>
        <v>310</v>
      </c>
      <c r="K225" s="33" t="s">
        <v>868</v>
      </c>
      <c r="L225" s="32">
        <v>40</v>
      </c>
      <c r="M225" s="32" t="str">
        <f>"9781743609323"</f>
        <v>9781743609323</v>
      </c>
      <c r="N225" s="36">
        <v>13.99</v>
      </c>
      <c r="O225" s="20" t="s">
        <v>506</v>
      </c>
      <c r="P225" s="19"/>
      <c r="Q225" s="19"/>
    </row>
    <row r="226" spans="1:17" ht="29.5" customHeight="1">
      <c r="A226" s="32"/>
      <c r="B226" s="56" t="str">
        <f>"0201743607000"</f>
        <v>0201743607000</v>
      </c>
      <c r="C226" s="33" t="s">
        <v>1342</v>
      </c>
      <c r="D226" s="34" t="s">
        <v>955</v>
      </c>
      <c r="E226" s="34" t="s">
        <v>939</v>
      </c>
      <c r="F226" s="32"/>
      <c r="G226" s="32" t="s">
        <v>61</v>
      </c>
      <c r="H226" s="40">
        <v>3.5</v>
      </c>
      <c r="I226" s="32"/>
      <c r="J226" s="35">
        <f>VLOOKUP(B226,'[1]remainderlist'!$B$1:$I$1139,8,FALSE)</f>
        <v>340</v>
      </c>
      <c r="K226" s="33" t="s">
        <v>807</v>
      </c>
      <c r="L226" s="32">
        <v>40</v>
      </c>
      <c r="M226" s="32" t="str">
        <f>"9781743607008"</f>
        <v>9781743607008</v>
      </c>
      <c r="N226" s="36">
        <v>13.99</v>
      </c>
      <c r="O226" s="20" t="s">
        <v>506</v>
      </c>
      <c r="P226" s="19"/>
      <c r="Q226" s="19"/>
    </row>
    <row r="227" spans="1:17" ht="29.5" customHeight="1">
      <c r="A227" s="32"/>
      <c r="B227" s="56" t="str">
        <f>"0201743606997"</f>
        <v>0201743606997</v>
      </c>
      <c r="C227" s="33" t="s">
        <v>1342</v>
      </c>
      <c r="D227" s="34" t="s">
        <v>959</v>
      </c>
      <c r="E227" s="34" t="s">
        <v>939</v>
      </c>
      <c r="F227" s="32"/>
      <c r="G227" s="32" t="s">
        <v>61</v>
      </c>
      <c r="H227" s="40">
        <v>3.5</v>
      </c>
      <c r="I227" s="32"/>
      <c r="J227" s="35">
        <f>VLOOKUP(B227,'[1]remainderlist'!$B$1:$I$1139,8,FALSE)</f>
        <v>410</v>
      </c>
      <c r="K227" s="33" t="s">
        <v>807</v>
      </c>
      <c r="L227" s="32">
        <v>40</v>
      </c>
      <c r="M227" s="32" t="str">
        <f>"9781743606995"</f>
        <v>9781743606995</v>
      </c>
      <c r="N227" s="36">
        <v>13.99</v>
      </c>
      <c r="O227" s="20" t="s">
        <v>506</v>
      </c>
      <c r="P227" s="19"/>
      <c r="Q227" s="19"/>
    </row>
    <row r="228" spans="1:17" ht="29.5" customHeight="1">
      <c r="A228" s="32"/>
      <c r="B228" s="56" t="str">
        <f>"0201743607482"</f>
        <v>0201743607482</v>
      </c>
      <c r="C228" s="33" t="s">
        <v>1342</v>
      </c>
      <c r="D228" s="34" t="s">
        <v>964</v>
      </c>
      <c r="E228" s="34" t="s">
        <v>939</v>
      </c>
      <c r="F228" s="32"/>
      <c r="G228" s="32" t="s">
        <v>8</v>
      </c>
      <c r="H228" s="40">
        <v>9.99</v>
      </c>
      <c r="I228" s="32"/>
      <c r="J228" s="35">
        <f>VLOOKUP(B228,'[1]remainderlist'!$B$1:$I$1139,8,FALSE)</f>
        <v>3257</v>
      </c>
      <c r="K228" s="33" t="s">
        <v>868</v>
      </c>
      <c r="L228" s="32">
        <v>6</v>
      </c>
      <c r="M228" s="32" t="str">
        <f>"9781743607480"</f>
        <v>9781743607480</v>
      </c>
      <c r="N228" s="36">
        <v>55.99</v>
      </c>
      <c r="O228" s="20" t="s">
        <v>506</v>
      </c>
      <c r="P228" s="19"/>
      <c r="Q228" s="19"/>
    </row>
    <row r="229" spans="1:17" ht="29.5" customHeight="1">
      <c r="A229" s="32"/>
      <c r="B229" s="56" t="str">
        <f>"0201452155854"</f>
        <v>0201452155854</v>
      </c>
      <c r="C229" s="33" t="s">
        <v>1377</v>
      </c>
      <c r="D229" s="34" t="s">
        <v>1190</v>
      </c>
      <c r="E229" s="34" t="s">
        <v>1191</v>
      </c>
      <c r="F229" s="32" t="s">
        <v>324</v>
      </c>
      <c r="G229" s="32" t="s">
        <v>6</v>
      </c>
      <c r="H229" s="40">
        <v>4.99</v>
      </c>
      <c r="I229" s="32"/>
      <c r="J229" s="35">
        <f>VLOOKUP(B229,'[1]remainderlist'!$B$1:$I$1139,8,FALSE)</f>
        <v>160</v>
      </c>
      <c r="K229" s="33" t="s">
        <v>986</v>
      </c>
      <c r="L229" s="32">
        <v>32</v>
      </c>
      <c r="M229" s="32" t="str">
        <f>"9781452155852"</f>
        <v>9781452155852</v>
      </c>
      <c r="N229" s="36">
        <v>22.5</v>
      </c>
      <c r="O229" s="20" t="s">
        <v>506</v>
      </c>
      <c r="P229" s="19"/>
      <c r="Q229" s="19"/>
    </row>
    <row r="230" spans="1:17" ht="29.5" customHeight="1">
      <c r="A230" s="32"/>
      <c r="B230" s="56" t="str">
        <f>"0201452137263"</f>
        <v>0201452137263</v>
      </c>
      <c r="C230" s="33" t="s">
        <v>1377</v>
      </c>
      <c r="D230" s="34" t="s">
        <v>983</v>
      </c>
      <c r="E230" s="34" t="s">
        <v>984</v>
      </c>
      <c r="F230" s="32" t="s">
        <v>284</v>
      </c>
      <c r="G230" s="32" t="s">
        <v>8</v>
      </c>
      <c r="H230" s="40">
        <v>3.99</v>
      </c>
      <c r="I230" s="32"/>
      <c r="J230" s="35">
        <f>VLOOKUP(B230,'[1]remainderlist'!$B$1:$I$1139,8,FALSE)</f>
        <v>120</v>
      </c>
      <c r="K230" s="33" t="s">
        <v>905</v>
      </c>
      <c r="L230" s="32">
        <v>20</v>
      </c>
      <c r="M230" s="32" t="str">
        <f>"9781452137261"</f>
        <v>9781452137261</v>
      </c>
      <c r="N230" s="36">
        <v>20.95</v>
      </c>
      <c r="O230" s="20" t="s">
        <v>506</v>
      </c>
      <c r="P230" s="19"/>
      <c r="Q230" s="19"/>
    </row>
    <row r="231" spans="1:17" ht="29.5" customHeight="1">
      <c r="A231" s="32"/>
      <c r="B231" s="56" t="str">
        <f>"0201616895268"</f>
        <v>0201616895268</v>
      </c>
      <c r="C231" s="33" t="s">
        <v>1380</v>
      </c>
      <c r="D231" s="34" t="s">
        <v>1320</v>
      </c>
      <c r="E231" s="34" t="s">
        <v>1321</v>
      </c>
      <c r="F231" s="32" t="s">
        <v>344</v>
      </c>
      <c r="G231" s="32" t="s">
        <v>6</v>
      </c>
      <c r="H231" s="40">
        <v>8.99</v>
      </c>
      <c r="I231" s="37" t="s">
        <v>501</v>
      </c>
      <c r="J231" s="35">
        <f>VLOOKUP(B231,'[1]remainderlist'!$B$1:$I$1139,8,FALSE)</f>
        <v>80</v>
      </c>
      <c r="K231" s="33" t="s">
        <v>986</v>
      </c>
      <c r="L231" s="32">
        <v>20</v>
      </c>
      <c r="M231" s="32" t="str">
        <f>"9781616895266"</f>
        <v>9781616895266</v>
      </c>
      <c r="N231" s="36">
        <v>35.95</v>
      </c>
      <c r="O231" s="20" t="s">
        <v>506</v>
      </c>
      <c r="P231" s="19"/>
      <c r="Q231" s="19"/>
    </row>
    <row r="232" spans="1:17" s="10" customFormat="1" ht="15">
      <c r="A232" s="45"/>
      <c r="B232" s="52" t="s">
        <v>1369</v>
      </c>
      <c r="C232" s="6"/>
      <c r="D232" s="6"/>
      <c r="E232" s="6"/>
      <c r="F232" s="7"/>
      <c r="G232" s="7"/>
      <c r="H232" s="44"/>
      <c r="I232" s="8"/>
      <c r="J232" s="7"/>
      <c r="K232" s="6"/>
      <c r="L232" s="7"/>
      <c r="M232" s="9"/>
      <c r="N232" s="25"/>
      <c r="O232" s="11"/>
      <c r="P232" s="30"/>
      <c r="Q232" s="30"/>
    </row>
    <row r="233" spans="1:17" ht="29.5" customHeight="1">
      <c r="A233" s="32"/>
      <c r="B233" s="56" t="str">
        <f>"0201423646619"</f>
        <v>0201423646619</v>
      </c>
      <c r="C233" s="33" t="s">
        <v>766</v>
      </c>
      <c r="D233" s="34" t="s">
        <v>1242</v>
      </c>
      <c r="E233" s="34" t="s">
        <v>1243</v>
      </c>
      <c r="F233" s="32" t="s">
        <v>215</v>
      </c>
      <c r="G233" s="32" t="s">
        <v>216</v>
      </c>
      <c r="H233" s="40">
        <v>3.5</v>
      </c>
      <c r="I233" s="37" t="s">
        <v>501</v>
      </c>
      <c r="J233" s="35">
        <f>VLOOKUP(B233,'[1]remainderlist'!$B$1:$I$1139,8,FALSE)</f>
        <v>60</v>
      </c>
      <c r="K233" s="33" t="s">
        <v>1221</v>
      </c>
      <c r="L233" s="32">
        <v>60</v>
      </c>
      <c r="M233" s="32" t="str">
        <f>"9781423646617"</f>
        <v>9781423646617</v>
      </c>
      <c r="N233" s="36">
        <v>13.99</v>
      </c>
      <c r="O233" s="20" t="s">
        <v>506</v>
      </c>
      <c r="P233" s="19"/>
      <c r="Q233" s="19"/>
    </row>
    <row r="234" spans="1:17" ht="29.5" customHeight="1">
      <c r="A234" s="32"/>
      <c r="B234" s="56" t="str">
        <f>"0201452147392"</f>
        <v>0201452147392</v>
      </c>
      <c r="C234" s="33" t="s">
        <v>1377</v>
      </c>
      <c r="D234" s="34" t="s">
        <v>1161</v>
      </c>
      <c r="E234" s="34" t="s">
        <v>506</v>
      </c>
      <c r="F234" s="32"/>
      <c r="G234" s="32" t="s">
        <v>216</v>
      </c>
      <c r="H234" s="40">
        <v>2.99</v>
      </c>
      <c r="I234" s="32"/>
      <c r="J234" s="35">
        <f>VLOOKUP(B234,'[1]remainderlist'!$B$1:$I$1139,8,FALSE)</f>
        <v>57</v>
      </c>
      <c r="K234" s="33" t="s">
        <v>986</v>
      </c>
      <c r="L234" s="32">
        <v>72</v>
      </c>
      <c r="M234" s="32" t="str">
        <f>"9781452147390"</f>
        <v>9781452147390</v>
      </c>
      <c r="N234" s="36">
        <v>13.95</v>
      </c>
      <c r="O234" s="20" t="s">
        <v>506</v>
      </c>
      <c r="P234" s="19"/>
      <c r="Q234" s="19"/>
    </row>
    <row r="235" spans="1:17" ht="29.5" customHeight="1">
      <c r="A235" s="32"/>
      <c r="B235" s="56" t="str">
        <f>"0201452149761"</f>
        <v>0201452149761</v>
      </c>
      <c r="C235" s="33" t="s">
        <v>1377</v>
      </c>
      <c r="D235" s="34" t="s">
        <v>1180</v>
      </c>
      <c r="E235" s="34" t="s">
        <v>506</v>
      </c>
      <c r="F235" s="32"/>
      <c r="G235" s="32" t="s">
        <v>241</v>
      </c>
      <c r="H235" s="40">
        <v>3.99</v>
      </c>
      <c r="I235" s="32"/>
      <c r="J235" s="35">
        <f>VLOOKUP(B235,'[1]remainderlist'!$B$1:$I$1139,8,FALSE)</f>
        <v>104</v>
      </c>
      <c r="K235" s="33" t="s">
        <v>905</v>
      </c>
      <c r="L235" s="32">
        <v>48</v>
      </c>
      <c r="M235" s="32" t="str">
        <f>"9781452149769"</f>
        <v>9781452149769</v>
      </c>
      <c r="N235" s="36">
        <v>18.95</v>
      </c>
      <c r="O235" s="20" t="s">
        <v>506</v>
      </c>
      <c r="P235" s="19"/>
      <c r="Q235" s="19"/>
    </row>
    <row r="236" spans="1:17" ht="29.5" customHeight="1">
      <c r="A236" s="32"/>
      <c r="B236" s="56" t="str">
        <f>"0201402273614"</f>
        <v>0201402273614</v>
      </c>
      <c r="C236" s="33" t="s">
        <v>511</v>
      </c>
      <c r="D236" s="34" t="s">
        <v>622</v>
      </c>
      <c r="E236" s="34" t="s">
        <v>623</v>
      </c>
      <c r="F236" s="32"/>
      <c r="G236" s="32" t="s">
        <v>23</v>
      </c>
      <c r="H236" s="40">
        <v>0.99</v>
      </c>
      <c r="I236" s="32"/>
      <c r="J236" s="35">
        <f>VLOOKUP(B236,'[1]remainderlist'!$B$1:$I$1139,8,FALSE)</f>
        <v>797</v>
      </c>
      <c r="K236" s="33" t="s">
        <v>576</v>
      </c>
      <c r="L236" s="32">
        <v>96</v>
      </c>
      <c r="M236" s="32" t="str">
        <f>"9781402273612"</f>
        <v>9781402273612</v>
      </c>
      <c r="N236" s="36">
        <v>8.99</v>
      </c>
      <c r="O236" s="20" t="s">
        <v>506</v>
      </c>
      <c r="P236" s="19"/>
      <c r="Q236" s="19"/>
    </row>
    <row r="237" spans="1:17" ht="29.5" customHeight="1">
      <c r="A237" s="32"/>
      <c r="B237" s="56" t="str">
        <f>"0221452108728"</f>
        <v>0221452108728</v>
      </c>
      <c r="C237" s="33" t="s">
        <v>1377</v>
      </c>
      <c r="D237" s="34" t="s">
        <v>630</v>
      </c>
      <c r="E237" s="34" t="s">
        <v>631</v>
      </c>
      <c r="F237" s="32" t="s">
        <v>259</v>
      </c>
      <c r="G237" s="32" t="s">
        <v>11</v>
      </c>
      <c r="H237" s="40">
        <v>3.99</v>
      </c>
      <c r="I237" s="32"/>
      <c r="J237" s="35">
        <f>VLOOKUP(B237,'[1]remainderlist'!$B$1:$I$1139,8,FALSE)</f>
        <v>56</v>
      </c>
      <c r="K237" s="33" t="s">
        <v>576</v>
      </c>
      <c r="L237" s="32">
        <v>36</v>
      </c>
      <c r="M237" s="32" t="str">
        <f>"9781452108728"</f>
        <v>9781452108728</v>
      </c>
      <c r="N237" s="36">
        <v>28</v>
      </c>
      <c r="O237" s="20" t="s">
        <v>506</v>
      </c>
      <c r="P237" s="19"/>
      <c r="Q237" s="19"/>
    </row>
    <row r="238" spans="1:17" ht="29.5" customHeight="1">
      <c r="A238" s="32"/>
      <c r="B238" s="56" t="str">
        <f>"0201452106115"</f>
        <v>0201452106115</v>
      </c>
      <c r="C238" s="33" t="s">
        <v>1377</v>
      </c>
      <c r="D238" s="34" t="s">
        <v>760</v>
      </c>
      <c r="E238" s="34" t="s">
        <v>761</v>
      </c>
      <c r="F238" s="32" t="s">
        <v>227</v>
      </c>
      <c r="G238" s="32" t="s">
        <v>223</v>
      </c>
      <c r="H238" s="40">
        <v>5.99</v>
      </c>
      <c r="I238" s="32"/>
      <c r="J238" s="35">
        <f>VLOOKUP(B238,'[1]remainderlist'!$B$1:$I$1139,8,FALSE)</f>
        <v>319</v>
      </c>
      <c r="K238" s="33" t="s">
        <v>526</v>
      </c>
      <c r="L238" s="32">
        <v>20</v>
      </c>
      <c r="M238" s="32" t="str">
        <f>"9781452106113"</f>
        <v>9781452106113</v>
      </c>
      <c r="N238" s="36">
        <v>27.95</v>
      </c>
      <c r="O238" s="20" t="s">
        <v>506</v>
      </c>
      <c r="P238" s="19"/>
      <c r="Q238" s="19"/>
    </row>
    <row r="239" spans="1:17" ht="29.5" customHeight="1">
      <c r="A239" s="32"/>
      <c r="B239" s="56" t="str">
        <f>"0201452152051"</f>
        <v>0201452152051</v>
      </c>
      <c r="C239" s="33" t="s">
        <v>1377</v>
      </c>
      <c r="D239" s="34" t="s">
        <v>903</v>
      </c>
      <c r="E239" s="34" t="s">
        <v>904</v>
      </c>
      <c r="F239" s="32" t="s">
        <v>321</v>
      </c>
      <c r="G239" s="32" t="s">
        <v>11</v>
      </c>
      <c r="H239" s="40">
        <v>3.99</v>
      </c>
      <c r="I239" s="32"/>
      <c r="J239" s="35">
        <f>VLOOKUP(B239,'[1]remainderlist'!$B$1:$I$1139,8,FALSE)</f>
        <v>609</v>
      </c>
      <c r="K239" s="33" t="s">
        <v>905</v>
      </c>
      <c r="L239" s="32">
        <v>36</v>
      </c>
      <c r="M239" s="32" t="str">
        <f>"9781452152059"</f>
        <v>9781452152059</v>
      </c>
      <c r="N239" s="36">
        <v>22.5</v>
      </c>
      <c r="O239" s="20" t="s">
        <v>506</v>
      </c>
      <c r="P239" s="19"/>
      <c r="Q239" s="19"/>
    </row>
    <row r="240" spans="1:17" ht="29.5" customHeight="1">
      <c r="A240" s="32"/>
      <c r="B240" s="56" t="str">
        <f>"0201452142649"</f>
        <v>0201452142649</v>
      </c>
      <c r="C240" s="33" t="s">
        <v>1377</v>
      </c>
      <c r="D240" s="34" t="s">
        <v>885</v>
      </c>
      <c r="E240" s="34" t="s">
        <v>886</v>
      </c>
      <c r="F240" s="32" t="s">
        <v>18</v>
      </c>
      <c r="G240" s="32" t="s">
        <v>11</v>
      </c>
      <c r="H240" s="40">
        <v>4.99</v>
      </c>
      <c r="I240" s="32"/>
      <c r="J240" s="35">
        <f>VLOOKUP(B240,'[1]remainderlist'!$B$1:$I$1139,8,FALSE)</f>
        <v>234</v>
      </c>
      <c r="K240" s="33" t="s">
        <v>868</v>
      </c>
      <c r="L240" s="32">
        <v>30</v>
      </c>
      <c r="M240" s="32" t="str">
        <f>"9781452142647"</f>
        <v>9781452142647</v>
      </c>
      <c r="N240" s="36">
        <v>23.95</v>
      </c>
      <c r="O240" s="20" t="s">
        <v>506</v>
      </c>
      <c r="P240" s="19"/>
      <c r="Q240" s="19"/>
    </row>
    <row r="241" spans="1:17" ht="29.5" customHeight="1">
      <c r="A241" s="32"/>
      <c r="B241" s="56" t="str">
        <f>"0201452129336"</f>
        <v>0201452129336</v>
      </c>
      <c r="C241" s="33" t="s">
        <v>1377</v>
      </c>
      <c r="D241" s="34" t="s">
        <v>973</v>
      </c>
      <c r="E241" s="34" t="s">
        <v>506</v>
      </c>
      <c r="F241" s="32"/>
      <c r="G241" s="32" t="s">
        <v>11</v>
      </c>
      <c r="H241" s="40">
        <v>3.99</v>
      </c>
      <c r="I241" s="32"/>
      <c r="J241" s="35">
        <f>VLOOKUP(B241,'[1]remainderlist'!$B$1:$I$1139,8,FALSE)</f>
        <v>60</v>
      </c>
      <c r="K241" s="33" t="s">
        <v>643</v>
      </c>
      <c r="L241" s="32">
        <v>60</v>
      </c>
      <c r="M241" s="32" t="str">
        <f>"9781452129334"</f>
        <v>9781452129334</v>
      </c>
      <c r="N241" s="36">
        <v>18.95</v>
      </c>
      <c r="O241" s="20" t="s">
        <v>506</v>
      </c>
      <c r="P241" s="19"/>
      <c r="Q241" s="19"/>
    </row>
    <row r="242" spans="1:17" ht="29.5" customHeight="1">
      <c r="A242" s="32"/>
      <c r="B242" s="56" t="str">
        <f>"0201452118309"</f>
        <v>0201452118309</v>
      </c>
      <c r="C242" s="33" t="s">
        <v>1377</v>
      </c>
      <c r="D242" s="34" t="s">
        <v>698</v>
      </c>
      <c r="E242" s="34" t="s">
        <v>506</v>
      </c>
      <c r="F242" s="32"/>
      <c r="G242" s="32" t="s">
        <v>11</v>
      </c>
      <c r="H242" s="40">
        <v>3.99</v>
      </c>
      <c r="I242" s="32"/>
      <c r="J242" s="35">
        <f>VLOOKUP(B242,'[1]remainderlist'!$B$1:$I$1139,8,FALSE)</f>
        <v>127</v>
      </c>
      <c r="K242" s="33" t="s">
        <v>643</v>
      </c>
      <c r="L242" s="32">
        <v>36</v>
      </c>
      <c r="M242" s="32" t="str">
        <f>"9781452118307"</f>
        <v>9781452118307</v>
      </c>
      <c r="N242" s="36">
        <v>21.95</v>
      </c>
      <c r="O242" s="20" t="s">
        <v>506</v>
      </c>
      <c r="P242" s="19"/>
      <c r="Q242" s="19"/>
    </row>
    <row r="243" spans="1:17" ht="29.5" customHeight="1">
      <c r="A243" s="32"/>
      <c r="B243" s="56" t="str">
        <f>"0221452106601"</f>
        <v>0221452106601</v>
      </c>
      <c r="C243" s="33" t="s">
        <v>1377</v>
      </c>
      <c r="D243" s="34" t="s">
        <v>616</v>
      </c>
      <c r="E243" s="34" t="s">
        <v>506</v>
      </c>
      <c r="F243" s="32" t="s">
        <v>488</v>
      </c>
      <c r="G243" s="32" t="s">
        <v>23</v>
      </c>
      <c r="H243" s="40">
        <v>1.99</v>
      </c>
      <c r="I243" s="32"/>
      <c r="J243" s="35">
        <f>VLOOKUP(B243,'[1]remainderlist'!$B$1:$I$1139,8,FALSE)</f>
        <v>237</v>
      </c>
      <c r="K243" s="33" t="s">
        <v>576</v>
      </c>
      <c r="L243" s="32">
        <v>240</v>
      </c>
      <c r="M243" s="32" t="str">
        <f>"9781452106601"</f>
        <v>9781452106601</v>
      </c>
      <c r="N243" s="36">
        <v>11.95</v>
      </c>
      <c r="O243" s="20" t="s">
        <v>506</v>
      </c>
      <c r="P243" s="19"/>
      <c r="Q243" s="19"/>
    </row>
    <row r="244" spans="1:17" ht="29.5" customHeight="1">
      <c r="A244" s="32"/>
      <c r="B244" s="56" t="str">
        <f>"0201616891413"</f>
        <v>0201616891413</v>
      </c>
      <c r="C244" s="33" t="s">
        <v>1380</v>
      </c>
      <c r="D244" s="34" t="s">
        <v>664</v>
      </c>
      <c r="E244" s="34" t="s">
        <v>665</v>
      </c>
      <c r="F244" s="32" t="s">
        <v>331</v>
      </c>
      <c r="G244" s="32" t="s">
        <v>8</v>
      </c>
      <c r="H244" s="40">
        <v>4.49</v>
      </c>
      <c r="I244" s="32"/>
      <c r="J244" s="35">
        <f>VLOOKUP(B244,'[1]remainderlist'!$B$1:$I$1139,8,FALSE)</f>
        <v>120</v>
      </c>
      <c r="K244" s="33" t="s">
        <v>615</v>
      </c>
      <c r="L244" s="32">
        <v>40</v>
      </c>
      <c r="M244" s="32" t="str">
        <f>"9781616891411"</f>
        <v>9781616891411</v>
      </c>
      <c r="N244" s="36">
        <v>23.95</v>
      </c>
      <c r="O244" s="20" t="s">
        <v>506</v>
      </c>
      <c r="P244" s="19"/>
      <c r="Q244" s="19"/>
    </row>
    <row r="245" spans="1:17" ht="29.5" customHeight="1">
      <c r="A245" s="32"/>
      <c r="B245" s="56" t="str">
        <f>"0201452139861"</f>
        <v>0201452139861</v>
      </c>
      <c r="C245" s="33" t="s">
        <v>1377</v>
      </c>
      <c r="D245" s="34" t="s">
        <v>890</v>
      </c>
      <c r="E245" s="34" t="s">
        <v>889</v>
      </c>
      <c r="F245" s="32" t="s">
        <v>291</v>
      </c>
      <c r="G245" s="32" t="s">
        <v>290</v>
      </c>
      <c r="H245" s="40">
        <v>3.99</v>
      </c>
      <c r="I245" s="32"/>
      <c r="J245" s="35">
        <f>VLOOKUP(B245,'[1]remainderlist'!$B$1:$I$1139,8,FALSE)</f>
        <v>95</v>
      </c>
      <c r="K245" s="33" t="s">
        <v>807</v>
      </c>
      <c r="L245" s="32">
        <v>100</v>
      </c>
      <c r="M245" s="32" t="str">
        <f>"9781452139869"</f>
        <v>9781452139869</v>
      </c>
      <c r="N245" s="36">
        <v>18.5</v>
      </c>
      <c r="O245" s="20" t="s">
        <v>506</v>
      </c>
      <c r="P245" s="19"/>
      <c r="Q245" s="19"/>
    </row>
    <row r="246" spans="1:17" ht="29.5" customHeight="1">
      <c r="A246" s="32"/>
      <c r="B246" s="56" t="str">
        <f>"0201452146630"</f>
        <v>0201452146630</v>
      </c>
      <c r="C246" s="33" t="s">
        <v>1377</v>
      </c>
      <c r="D246" s="34" t="s">
        <v>1167</v>
      </c>
      <c r="E246" s="34" t="s">
        <v>506</v>
      </c>
      <c r="F246" s="32"/>
      <c r="G246" s="32" t="s">
        <v>23</v>
      </c>
      <c r="H246" s="40">
        <v>2.99</v>
      </c>
      <c r="I246" s="32"/>
      <c r="J246" s="35">
        <f>VLOOKUP(B246,'[1]remainderlist'!$B$1:$I$1139,8,FALSE)</f>
        <v>68</v>
      </c>
      <c r="K246" s="33" t="s">
        <v>905</v>
      </c>
      <c r="L246" s="32">
        <v>72</v>
      </c>
      <c r="M246" s="32" t="str">
        <f>"9781452146638"</f>
        <v>9781452146638</v>
      </c>
      <c r="N246" s="36">
        <v>15.95</v>
      </c>
      <c r="O246" s="20" t="s">
        <v>506</v>
      </c>
      <c r="P246" s="19"/>
      <c r="Q246" s="19"/>
    </row>
    <row r="247" spans="1:17" ht="29.5" customHeight="1">
      <c r="A247" s="32"/>
      <c r="B247" s="56" t="str">
        <f>"0201452156745"</f>
        <v>0201452156745</v>
      </c>
      <c r="C247" s="33" t="s">
        <v>1377</v>
      </c>
      <c r="D247" s="34" t="s">
        <v>1168</v>
      </c>
      <c r="E247" s="34" t="s">
        <v>1169</v>
      </c>
      <c r="F247" s="32"/>
      <c r="G247" s="32" t="s">
        <v>20</v>
      </c>
      <c r="H247" s="40">
        <v>3.99</v>
      </c>
      <c r="I247" s="32"/>
      <c r="J247" s="35">
        <f>VLOOKUP(B247,'[1]remainderlist'!$B$1:$I$1139,8,FALSE)</f>
        <v>72</v>
      </c>
      <c r="K247" s="33" t="s">
        <v>986</v>
      </c>
      <c r="L247" s="32">
        <v>72</v>
      </c>
      <c r="M247" s="32" t="str">
        <f>"9781452156743"</f>
        <v>9781452156743</v>
      </c>
      <c r="N247" s="36">
        <v>18.95</v>
      </c>
      <c r="O247" s="20" t="s">
        <v>506</v>
      </c>
      <c r="P247" s="19"/>
      <c r="Q247" s="19"/>
    </row>
    <row r="248" spans="1:17" ht="29.5" customHeight="1">
      <c r="A248" s="32"/>
      <c r="B248" s="56" t="str">
        <f>"0201452145022"</f>
        <v>0201452145022</v>
      </c>
      <c r="C248" s="33" t="s">
        <v>1377</v>
      </c>
      <c r="D248" s="34" t="s">
        <v>812</v>
      </c>
      <c r="E248" s="34" t="s">
        <v>506</v>
      </c>
      <c r="F248" s="32"/>
      <c r="G248" s="32" t="s">
        <v>11</v>
      </c>
      <c r="H248" s="40">
        <v>2.99</v>
      </c>
      <c r="I248" s="32"/>
      <c r="J248" s="35">
        <f>VLOOKUP(B248,'[1]remainderlist'!$B$1:$I$1139,8,FALSE)</f>
        <v>192</v>
      </c>
      <c r="K248" s="33" t="s">
        <v>807</v>
      </c>
      <c r="L248" s="32">
        <v>60</v>
      </c>
      <c r="M248" s="32" t="str">
        <f>"9781452145020"</f>
        <v>9781452145020</v>
      </c>
      <c r="N248" s="36">
        <v>13.95</v>
      </c>
      <c r="O248" s="20" t="s">
        <v>506</v>
      </c>
      <c r="P248" s="19"/>
      <c r="Q248" s="19"/>
    </row>
    <row r="249" spans="1:17" ht="29.5" customHeight="1">
      <c r="A249" s="32"/>
      <c r="B249" s="56" t="str">
        <f>"0221402254895"</f>
        <v>0221402254895</v>
      </c>
      <c r="C249" s="33" t="s">
        <v>511</v>
      </c>
      <c r="D249" s="34" t="s">
        <v>529</v>
      </c>
      <c r="E249" s="34" t="s">
        <v>530</v>
      </c>
      <c r="F249" s="32" t="s">
        <v>1379</v>
      </c>
      <c r="G249" s="32" t="s">
        <v>23</v>
      </c>
      <c r="H249" s="40">
        <v>0.99</v>
      </c>
      <c r="I249" s="32"/>
      <c r="J249" s="35">
        <f>VLOOKUP(B249,'[1]remainderlist'!$B$1:$I$1139,8,FALSE)</f>
        <v>764</v>
      </c>
      <c r="K249" s="33" t="s">
        <v>515</v>
      </c>
      <c r="L249" s="32">
        <v>96</v>
      </c>
      <c r="M249" s="32" t="str">
        <f>"9781402254895"</f>
        <v>9781402254895</v>
      </c>
      <c r="N249" s="36">
        <v>8.99</v>
      </c>
      <c r="O249" s="20" t="s">
        <v>506</v>
      </c>
      <c r="P249" s="19"/>
      <c r="Q249" s="19"/>
    </row>
    <row r="250" spans="1:17" ht="29.5" customHeight="1">
      <c r="A250" s="32"/>
      <c r="B250" s="56" t="str">
        <f>"0200811813213"</f>
        <v>0200811813213</v>
      </c>
      <c r="C250" s="33" t="s">
        <v>1377</v>
      </c>
      <c r="D250" s="34" t="s">
        <v>875</v>
      </c>
      <c r="E250" s="34" t="s">
        <v>506</v>
      </c>
      <c r="F250" s="32" t="s">
        <v>4</v>
      </c>
      <c r="G250" s="32" t="s">
        <v>3</v>
      </c>
      <c r="H250" s="40">
        <v>1.99</v>
      </c>
      <c r="I250" s="38"/>
      <c r="J250" s="35">
        <f>VLOOKUP(B250,'[1]remainderlist'!$B$1:$I$1139,8,FALSE)</f>
        <v>342</v>
      </c>
      <c r="K250" s="33" t="s">
        <v>876</v>
      </c>
      <c r="L250" s="32">
        <v>120</v>
      </c>
      <c r="M250" s="32" t="str">
        <f>"9780811813211"</f>
        <v>9780811813211</v>
      </c>
      <c r="N250" s="36">
        <v>9.95</v>
      </c>
      <c r="O250" s="20" t="s">
        <v>506</v>
      </c>
      <c r="P250" s="19"/>
      <c r="Q250" s="19"/>
    </row>
    <row r="251" spans="1:17" ht="29.5" customHeight="1">
      <c r="A251" s="32"/>
      <c r="B251" s="56" t="str">
        <f>"0221402271960"</f>
        <v>0221402271960</v>
      </c>
      <c r="C251" s="33" t="s">
        <v>511</v>
      </c>
      <c r="D251" s="34" t="s">
        <v>572</v>
      </c>
      <c r="E251" s="34" t="s">
        <v>573</v>
      </c>
      <c r="F251" s="32"/>
      <c r="G251" s="32" t="s">
        <v>6</v>
      </c>
      <c r="H251" s="40">
        <v>1.99</v>
      </c>
      <c r="I251" s="32"/>
      <c r="J251" s="35">
        <f>VLOOKUP(B251,'[1]remainderlist'!$B$1:$I$1139,8,FALSE)</f>
        <v>141</v>
      </c>
      <c r="K251" s="33" t="s">
        <v>576</v>
      </c>
      <c r="L251" s="32">
        <v>120</v>
      </c>
      <c r="M251" s="32" t="str">
        <f>"9781402271960"</f>
        <v>9781402271960</v>
      </c>
      <c r="N251" s="36">
        <v>12.99</v>
      </c>
      <c r="O251" s="20" t="s">
        <v>506</v>
      </c>
      <c r="P251" s="19"/>
      <c r="Q251" s="19"/>
    </row>
    <row r="252" spans="1:17" ht="29.5" customHeight="1">
      <c r="A252" s="32"/>
      <c r="B252" s="56" t="str">
        <f>"0221402269219"</f>
        <v>0221402269219</v>
      </c>
      <c r="C252" s="33" t="s">
        <v>511</v>
      </c>
      <c r="D252" s="34" t="s">
        <v>557</v>
      </c>
      <c r="E252" s="34" t="s">
        <v>558</v>
      </c>
      <c r="F252" s="32"/>
      <c r="G252" s="32" t="s">
        <v>6</v>
      </c>
      <c r="H252" s="40">
        <v>1.99</v>
      </c>
      <c r="I252" s="32"/>
      <c r="J252" s="35">
        <f>VLOOKUP(B252,'[1]remainderlist'!$B$1:$I$1139,8,FALSE)</f>
        <v>350</v>
      </c>
      <c r="K252" s="33" t="s">
        <v>560</v>
      </c>
      <c r="L252" s="32">
        <v>120</v>
      </c>
      <c r="M252" s="32" t="str">
        <f>"9781402269219"</f>
        <v>9781402269219</v>
      </c>
      <c r="N252" s="36">
        <v>12.99</v>
      </c>
      <c r="O252" s="20" t="s">
        <v>506</v>
      </c>
      <c r="P252" s="19"/>
      <c r="Q252" s="19"/>
    </row>
    <row r="253" spans="1:17" ht="29.5" customHeight="1">
      <c r="A253" s="32"/>
      <c r="B253" s="56" t="str">
        <f>"0201743607673"</f>
        <v>0201743607673</v>
      </c>
      <c r="C253" s="33" t="s">
        <v>1342</v>
      </c>
      <c r="D253" s="34" t="s">
        <v>963</v>
      </c>
      <c r="E253" s="34" t="s">
        <v>506</v>
      </c>
      <c r="F253" s="32"/>
      <c r="G253" s="32" t="s">
        <v>11</v>
      </c>
      <c r="H253" s="40">
        <v>4.99</v>
      </c>
      <c r="I253" s="32"/>
      <c r="J253" s="35">
        <f>VLOOKUP(B253,'[1]remainderlist'!$B$1:$I$1139,8,FALSE)</f>
        <v>1841</v>
      </c>
      <c r="K253" s="33" t="s">
        <v>807</v>
      </c>
      <c r="L253" s="32">
        <v>32</v>
      </c>
      <c r="M253" s="32" t="str">
        <f>"9781743607671"</f>
        <v>9781743607671</v>
      </c>
      <c r="N253" s="36">
        <v>25</v>
      </c>
      <c r="O253" s="20" t="s">
        <v>506</v>
      </c>
      <c r="P253" s="19"/>
      <c r="Q253" s="19"/>
    </row>
    <row r="254" spans="1:15" s="18" customFormat="1" ht="51.5" customHeight="1">
      <c r="A254" s="31" t="s">
        <v>1346</v>
      </c>
      <c r="B254" s="13" t="s">
        <v>1347</v>
      </c>
      <c r="C254" s="12" t="s">
        <v>1340</v>
      </c>
      <c r="D254" s="12" t="s">
        <v>0</v>
      </c>
      <c r="E254" s="12" t="s">
        <v>502</v>
      </c>
      <c r="F254" s="13" t="s">
        <v>1</v>
      </c>
      <c r="G254" s="13" t="s">
        <v>1348</v>
      </c>
      <c r="H254" s="13" t="s">
        <v>1349</v>
      </c>
      <c r="I254" s="14" t="s">
        <v>501</v>
      </c>
      <c r="J254" s="13" t="s">
        <v>1350</v>
      </c>
      <c r="K254" s="12" t="s">
        <v>1351</v>
      </c>
      <c r="L254" s="13" t="s">
        <v>1352</v>
      </c>
      <c r="M254" s="24" t="s">
        <v>1353</v>
      </c>
      <c r="N254" s="16" t="s">
        <v>1381</v>
      </c>
      <c r="O254" s="12" t="s">
        <v>503</v>
      </c>
    </row>
    <row r="255" spans="1:16" s="10" customFormat="1" ht="15">
      <c r="A255" s="45"/>
      <c r="B255" s="52" t="s">
        <v>1370</v>
      </c>
      <c r="C255" s="6"/>
      <c r="D255" s="6"/>
      <c r="E255" s="6"/>
      <c r="F255" s="7"/>
      <c r="G255" s="7"/>
      <c r="H255" s="44"/>
      <c r="I255" s="8"/>
      <c r="J255" s="7"/>
      <c r="K255" s="6"/>
      <c r="L255" s="7"/>
      <c r="M255" s="9"/>
      <c r="N255" s="25"/>
      <c r="O255" s="53"/>
      <c r="P255" s="30"/>
    </row>
    <row r="256" spans="1:16" ht="29.5" customHeight="1">
      <c r="A256" s="32"/>
      <c r="B256" s="56" t="str">
        <f>"0201452117210"</f>
        <v>0201452117210</v>
      </c>
      <c r="C256" s="33" t="s">
        <v>1377</v>
      </c>
      <c r="D256" s="34" t="s">
        <v>707</v>
      </c>
      <c r="E256" s="34" t="s">
        <v>506</v>
      </c>
      <c r="F256" s="32" t="s">
        <v>15</v>
      </c>
      <c r="G256" s="32" t="s">
        <v>14</v>
      </c>
      <c r="H256" s="40">
        <v>1.99</v>
      </c>
      <c r="I256" s="32"/>
      <c r="J256" s="35">
        <f>VLOOKUP(B256,'[1]remainderlist'!$B$1:$I$1139,8,FALSE)</f>
        <v>113</v>
      </c>
      <c r="K256" s="33" t="s">
        <v>509</v>
      </c>
      <c r="L256" s="32">
        <v>60</v>
      </c>
      <c r="M256" s="32" t="str">
        <f>"9781452117218"</f>
        <v>9781452117218</v>
      </c>
      <c r="N256" s="36">
        <v>10.99</v>
      </c>
      <c r="O256" s="34" t="s">
        <v>708</v>
      </c>
      <c r="P256" s="19"/>
    </row>
    <row r="257" spans="1:16" ht="29.5" customHeight="1">
      <c r="A257" s="32"/>
      <c r="B257" s="56" t="str">
        <f>"0201423647029"</f>
        <v>0201423647029</v>
      </c>
      <c r="C257" s="33" t="s">
        <v>766</v>
      </c>
      <c r="D257" s="34" t="s">
        <v>1250</v>
      </c>
      <c r="E257" s="34" t="s">
        <v>1251</v>
      </c>
      <c r="F257" s="32" t="s">
        <v>218</v>
      </c>
      <c r="G257" s="32" t="s">
        <v>14</v>
      </c>
      <c r="H257" s="40">
        <v>3.5</v>
      </c>
      <c r="I257" s="37" t="s">
        <v>501</v>
      </c>
      <c r="J257" s="35">
        <f>VLOOKUP(B257,'[1]remainderlist'!$B$1:$I$1139,8,FALSE)</f>
        <v>286</v>
      </c>
      <c r="K257" s="33" t="s">
        <v>1221</v>
      </c>
      <c r="L257" s="32">
        <v>26</v>
      </c>
      <c r="M257" s="32" t="str">
        <f>"9781423647027"</f>
        <v>9781423647027</v>
      </c>
      <c r="N257" s="36">
        <v>13.99</v>
      </c>
      <c r="O257" s="34" t="s">
        <v>1241</v>
      </c>
      <c r="P257" s="19"/>
    </row>
    <row r="258" spans="1:16" ht="29.5" customHeight="1">
      <c r="A258" s="32"/>
      <c r="B258" s="56" t="str">
        <f>"0201423647043"</f>
        <v>0201423647043</v>
      </c>
      <c r="C258" s="33" t="s">
        <v>766</v>
      </c>
      <c r="D258" s="34" t="s">
        <v>1253</v>
      </c>
      <c r="E258" s="34" t="s">
        <v>1254</v>
      </c>
      <c r="F258" s="32" t="s">
        <v>218</v>
      </c>
      <c r="G258" s="32" t="s">
        <v>14</v>
      </c>
      <c r="H258" s="40">
        <v>3.5</v>
      </c>
      <c r="I258" s="37" t="s">
        <v>501</v>
      </c>
      <c r="J258" s="35">
        <f>VLOOKUP(B258,'[1]remainderlist'!$B$1:$I$1139,8,FALSE)</f>
        <v>312</v>
      </c>
      <c r="K258" s="33" t="s">
        <v>1221</v>
      </c>
      <c r="L258" s="32">
        <v>26</v>
      </c>
      <c r="M258" s="32" t="str">
        <f>"9781423647041"</f>
        <v>9781423647041</v>
      </c>
      <c r="N258" s="36">
        <v>13.99</v>
      </c>
      <c r="O258" s="34" t="s">
        <v>1241</v>
      </c>
      <c r="P258" s="19"/>
    </row>
    <row r="259" spans="1:16" ht="29.5" customHeight="1">
      <c r="A259" s="32"/>
      <c r="B259" s="56" t="str">
        <f>"0201423644936"</f>
        <v>0201423644936</v>
      </c>
      <c r="C259" s="33" t="s">
        <v>766</v>
      </c>
      <c r="D259" s="34" t="s">
        <v>1144</v>
      </c>
      <c r="E259" s="34" t="s">
        <v>1145</v>
      </c>
      <c r="F259" s="32" t="s">
        <v>207</v>
      </c>
      <c r="G259" s="32" t="s">
        <v>14</v>
      </c>
      <c r="H259" s="40">
        <v>2.99</v>
      </c>
      <c r="I259" s="32"/>
      <c r="J259" s="35">
        <f>VLOOKUP(B259,'[1]remainderlist'!$B$1:$I$1139,8,FALSE)</f>
        <v>487</v>
      </c>
      <c r="K259" s="33" t="s">
        <v>986</v>
      </c>
      <c r="L259" s="32">
        <v>40</v>
      </c>
      <c r="M259" s="32" t="str">
        <f>"9781423644934"</f>
        <v>9781423644934</v>
      </c>
      <c r="N259" s="36">
        <v>13.99</v>
      </c>
      <c r="O259" s="34" t="s">
        <v>1146</v>
      </c>
      <c r="P259" s="19"/>
    </row>
    <row r="260" spans="1:16" ht="29.5" customHeight="1">
      <c r="A260" s="32"/>
      <c r="B260" s="56" t="str">
        <f>"0201423647128"</f>
        <v>0201423647128</v>
      </c>
      <c r="C260" s="33" t="s">
        <v>766</v>
      </c>
      <c r="D260" s="34" t="s">
        <v>1244</v>
      </c>
      <c r="E260" s="34" t="s">
        <v>1245</v>
      </c>
      <c r="F260" s="32" t="s">
        <v>220</v>
      </c>
      <c r="G260" s="32" t="s">
        <v>14</v>
      </c>
      <c r="H260" s="40">
        <v>3.5</v>
      </c>
      <c r="I260" s="37" t="s">
        <v>501</v>
      </c>
      <c r="J260" s="35">
        <f>VLOOKUP(B260,'[1]remainderlist'!$B$1:$I$1139,8,FALSE)</f>
        <v>104</v>
      </c>
      <c r="K260" s="33" t="s">
        <v>1221</v>
      </c>
      <c r="L260" s="32">
        <v>26</v>
      </c>
      <c r="M260" s="32" t="str">
        <f>"9781423647126"</f>
        <v>9781423647126</v>
      </c>
      <c r="N260" s="36">
        <v>13.99</v>
      </c>
      <c r="O260" s="34" t="s">
        <v>1241</v>
      </c>
      <c r="P260" s="19"/>
    </row>
    <row r="261" spans="1:16" ht="29.5" customHeight="1">
      <c r="A261" s="32"/>
      <c r="B261" s="56" t="str">
        <f>"0201423647166"</f>
        <v>0201423647166</v>
      </c>
      <c r="C261" s="33" t="s">
        <v>766</v>
      </c>
      <c r="D261" s="34" t="s">
        <v>1255</v>
      </c>
      <c r="E261" s="34" t="s">
        <v>1245</v>
      </c>
      <c r="F261" s="32" t="s">
        <v>220</v>
      </c>
      <c r="G261" s="32" t="s">
        <v>14</v>
      </c>
      <c r="H261" s="40">
        <v>3.5</v>
      </c>
      <c r="I261" s="37" t="s">
        <v>501</v>
      </c>
      <c r="J261" s="35">
        <f>VLOOKUP(B261,'[1]remainderlist'!$B$1:$I$1139,8,FALSE)</f>
        <v>312</v>
      </c>
      <c r="K261" s="33" t="s">
        <v>1221</v>
      </c>
      <c r="L261" s="32">
        <v>26</v>
      </c>
      <c r="M261" s="32" t="str">
        <f>"9781423647164"</f>
        <v>9781423647164</v>
      </c>
      <c r="N261" s="36">
        <v>13.99</v>
      </c>
      <c r="O261" s="34" t="s">
        <v>1241</v>
      </c>
      <c r="P261" s="19"/>
    </row>
    <row r="262" spans="1:16" ht="29.5" customHeight="1">
      <c r="A262" s="32"/>
      <c r="B262" s="56" t="str">
        <f>"0201423647142"</f>
        <v>0201423647142</v>
      </c>
      <c r="C262" s="33" t="s">
        <v>766</v>
      </c>
      <c r="D262" s="34" t="s">
        <v>1256</v>
      </c>
      <c r="E262" s="34" t="s">
        <v>1245</v>
      </c>
      <c r="F262" s="32" t="s">
        <v>220</v>
      </c>
      <c r="G262" s="32" t="s">
        <v>14</v>
      </c>
      <c r="H262" s="40">
        <v>3.5</v>
      </c>
      <c r="I262" s="37" t="s">
        <v>501</v>
      </c>
      <c r="J262" s="35">
        <f>VLOOKUP(B262,'[1]remainderlist'!$B$1:$I$1139,8,FALSE)</f>
        <v>338</v>
      </c>
      <c r="K262" s="33" t="s">
        <v>1221</v>
      </c>
      <c r="L262" s="32">
        <v>26</v>
      </c>
      <c r="M262" s="32" t="str">
        <f>"9781423647140"</f>
        <v>9781423647140</v>
      </c>
      <c r="N262" s="36">
        <v>13.99</v>
      </c>
      <c r="O262" s="34" t="s">
        <v>1241</v>
      </c>
      <c r="P262" s="19"/>
    </row>
    <row r="263" spans="1:16" ht="29.5" customHeight="1">
      <c r="A263" s="32"/>
      <c r="B263" s="56" t="str">
        <f>"0201452152457"</f>
        <v>0201452152457</v>
      </c>
      <c r="C263" s="33" t="s">
        <v>1377</v>
      </c>
      <c r="D263" s="34" t="s">
        <v>931</v>
      </c>
      <c r="E263" s="34" t="s">
        <v>506</v>
      </c>
      <c r="F263" s="32" t="s">
        <v>322</v>
      </c>
      <c r="G263" s="32" t="s">
        <v>14</v>
      </c>
      <c r="H263" s="40">
        <v>2.99</v>
      </c>
      <c r="I263" s="32"/>
      <c r="J263" s="35">
        <f>VLOOKUP(B263,'[1]remainderlist'!$B$1:$I$1139,8,FALSE)</f>
        <v>284</v>
      </c>
      <c r="K263" s="33" t="s">
        <v>905</v>
      </c>
      <c r="L263" s="32">
        <v>48</v>
      </c>
      <c r="M263" s="32" t="str">
        <f>"9781452152455"</f>
        <v>9781452152455</v>
      </c>
      <c r="N263" s="36">
        <v>13.95</v>
      </c>
      <c r="O263" s="34" t="s">
        <v>704</v>
      </c>
      <c r="P263" s="19"/>
    </row>
    <row r="264" spans="1:16" ht="29.5" customHeight="1">
      <c r="A264" s="32"/>
      <c r="B264" s="56" t="str">
        <f>"0201452152464"</f>
        <v>0201452152464</v>
      </c>
      <c r="C264" s="33" t="s">
        <v>1377</v>
      </c>
      <c r="D264" s="34" t="s">
        <v>1004</v>
      </c>
      <c r="E264" s="34" t="s">
        <v>506</v>
      </c>
      <c r="F264" s="32" t="s">
        <v>277</v>
      </c>
      <c r="G264" s="32" t="s">
        <v>14</v>
      </c>
      <c r="H264" s="40">
        <v>2.99</v>
      </c>
      <c r="I264" s="32"/>
      <c r="J264" s="35">
        <f>VLOOKUP(B264,'[1]remainderlist'!$B$1:$I$1139,8,FALSE)</f>
        <v>144</v>
      </c>
      <c r="K264" s="33" t="s">
        <v>905</v>
      </c>
      <c r="L264" s="32">
        <v>48</v>
      </c>
      <c r="M264" s="32" t="str">
        <f>"9781452152462"</f>
        <v>9781452152462</v>
      </c>
      <c r="N264" s="36">
        <v>13.95</v>
      </c>
      <c r="O264" s="34" t="s">
        <v>704</v>
      </c>
      <c r="P264" s="19"/>
    </row>
    <row r="265" spans="1:16" ht="29.5" customHeight="1">
      <c r="A265" s="32"/>
      <c r="B265" s="56" t="str">
        <f>"0201452152488"</f>
        <v>0201452152488</v>
      </c>
      <c r="C265" s="33" t="s">
        <v>1377</v>
      </c>
      <c r="D265" s="34" t="s">
        <v>1011</v>
      </c>
      <c r="E265" s="34" t="s">
        <v>506</v>
      </c>
      <c r="F265" s="32" t="s">
        <v>277</v>
      </c>
      <c r="G265" s="32" t="s">
        <v>14</v>
      </c>
      <c r="H265" s="40">
        <v>2.99</v>
      </c>
      <c r="I265" s="32"/>
      <c r="J265" s="35">
        <f>VLOOKUP(B265,'[1]remainderlist'!$B$1:$I$1139,8,FALSE)</f>
        <v>479</v>
      </c>
      <c r="K265" s="33" t="s">
        <v>986</v>
      </c>
      <c r="L265" s="32">
        <v>48</v>
      </c>
      <c r="M265" s="32" t="str">
        <f>"9781452152486"</f>
        <v>9781452152486</v>
      </c>
      <c r="N265" s="36">
        <v>13.95</v>
      </c>
      <c r="O265" s="34" t="s">
        <v>704</v>
      </c>
      <c r="P265" s="19"/>
    </row>
    <row r="266" spans="1:16" ht="29.5" customHeight="1">
      <c r="A266" s="32"/>
      <c r="B266" s="56" t="str">
        <f>"0201452152433"</f>
        <v>0201452152433</v>
      </c>
      <c r="C266" s="33" t="s">
        <v>1377</v>
      </c>
      <c r="D266" s="34" t="s">
        <v>933</v>
      </c>
      <c r="E266" s="34" t="s">
        <v>506</v>
      </c>
      <c r="F266" s="32" t="s">
        <v>277</v>
      </c>
      <c r="G266" s="32" t="s">
        <v>14</v>
      </c>
      <c r="H266" s="40">
        <v>2.99</v>
      </c>
      <c r="I266" s="32"/>
      <c r="J266" s="35">
        <f>VLOOKUP(B266,'[1]remainderlist'!$B$1:$I$1139,8,FALSE)</f>
        <v>643</v>
      </c>
      <c r="K266" s="33" t="s">
        <v>905</v>
      </c>
      <c r="L266" s="32">
        <v>48</v>
      </c>
      <c r="M266" s="32" t="str">
        <f>"9781452152431"</f>
        <v>9781452152431</v>
      </c>
      <c r="N266" s="36">
        <v>13.95</v>
      </c>
      <c r="O266" s="34" t="s">
        <v>704</v>
      </c>
      <c r="P266" s="19"/>
    </row>
    <row r="267" spans="1:16" s="10" customFormat="1" ht="15">
      <c r="A267" s="45"/>
      <c r="B267" s="52" t="s">
        <v>1371</v>
      </c>
      <c r="C267" s="6"/>
      <c r="D267" s="6"/>
      <c r="E267" s="6"/>
      <c r="F267" s="7"/>
      <c r="G267" s="7"/>
      <c r="H267" s="44"/>
      <c r="I267" s="8"/>
      <c r="J267" s="7"/>
      <c r="K267" s="6"/>
      <c r="L267" s="7"/>
      <c r="M267" s="9"/>
      <c r="N267" s="25"/>
      <c r="O267" s="25"/>
      <c r="P267" s="30"/>
    </row>
    <row r="268" spans="1:16" ht="29.5" customHeight="1">
      <c r="A268" s="32"/>
      <c r="B268" s="56" t="str">
        <f>"0201452121446"</f>
        <v>0201452121446</v>
      </c>
      <c r="C268" s="33" t="s">
        <v>1377</v>
      </c>
      <c r="D268" s="34" t="s">
        <v>697</v>
      </c>
      <c r="E268" s="34" t="s">
        <v>506</v>
      </c>
      <c r="F268" s="32" t="s">
        <v>251</v>
      </c>
      <c r="G268" s="32" t="s">
        <v>8</v>
      </c>
      <c r="H268" s="40">
        <v>3.99</v>
      </c>
      <c r="I268" s="32"/>
      <c r="J268" s="35">
        <f>VLOOKUP(B268,'[1]remainderlist'!$B$1:$I$1139,8,FALSE)</f>
        <v>70</v>
      </c>
      <c r="K268" s="33" t="s">
        <v>643</v>
      </c>
      <c r="L268" s="32">
        <v>68</v>
      </c>
      <c r="M268" s="32" t="str">
        <f>"9781452121444"</f>
        <v>9781452121444</v>
      </c>
      <c r="N268" s="36">
        <v>18.5</v>
      </c>
      <c r="O268" s="34" t="s">
        <v>999</v>
      </c>
      <c r="P268" s="19"/>
    </row>
    <row r="269" spans="1:16" ht="29.5" customHeight="1">
      <c r="A269" s="32"/>
      <c r="B269" s="56" t="str">
        <f>"0201423637662"</f>
        <v>0201423637662</v>
      </c>
      <c r="C269" s="33" t="s">
        <v>766</v>
      </c>
      <c r="D269" s="34" t="s">
        <v>776</v>
      </c>
      <c r="E269" s="34" t="s">
        <v>777</v>
      </c>
      <c r="F269" s="32" t="s">
        <v>207</v>
      </c>
      <c r="G269" s="32" t="s">
        <v>8</v>
      </c>
      <c r="H269" s="40">
        <v>4.25</v>
      </c>
      <c r="I269" s="32"/>
      <c r="J269" s="35">
        <f>VLOOKUP(B269,'[1]remainderlist'!$B$1:$I$1139,8,FALSE)</f>
        <v>155</v>
      </c>
      <c r="K269" s="33" t="s">
        <v>509</v>
      </c>
      <c r="L269" s="32">
        <v>30</v>
      </c>
      <c r="M269" s="32" t="str">
        <f>"9781423637660"</f>
        <v>9781423637660</v>
      </c>
      <c r="N269" s="36">
        <v>23.99</v>
      </c>
      <c r="O269" s="34" t="s">
        <v>778</v>
      </c>
      <c r="P269" s="19"/>
    </row>
    <row r="270" spans="1:16" ht="29.5" customHeight="1">
      <c r="A270" s="32"/>
      <c r="B270" s="56" t="str">
        <f>"0201452144476"</f>
        <v>0201452144476</v>
      </c>
      <c r="C270" s="33" t="s">
        <v>1377</v>
      </c>
      <c r="D270" s="34" t="s">
        <v>1003</v>
      </c>
      <c r="E270" s="34" t="s">
        <v>506</v>
      </c>
      <c r="F270" s="32" t="s">
        <v>308</v>
      </c>
      <c r="G270" s="32" t="s">
        <v>8</v>
      </c>
      <c r="H270" s="40">
        <v>4.99</v>
      </c>
      <c r="I270" s="32"/>
      <c r="J270" s="35">
        <f>VLOOKUP(B270,'[1]remainderlist'!$B$1:$I$1139,8,FALSE)</f>
        <v>150</v>
      </c>
      <c r="K270" s="33" t="s">
        <v>868</v>
      </c>
      <c r="L270" s="32">
        <v>30</v>
      </c>
      <c r="M270" s="32" t="str">
        <f>"9781452144474"</f>
        <v>9781452144474</v>
      </c>
      <c r="N270" s="36">
        <v>23.99</v>
      </c>
      <c r="O270" s="34" t="s">
        <v>894</v>
      </c>
      <c r="P270" s="19"/>
    </row>
    <row r="271" spans="1:16" ht="29.5" customHeight="1">
      <c r="A271" s="32"/>
      <c r="B271" s="56" t="str">
        <f>"0201452124072"</f>
        <v>0201452124072</v>
      </c>
      <c r="C271" s="33" t="s">
        <v>1377</v>
      </c>
      <c r="D271" s="34" t="s">
        <v>897</v>
      </c>
      <c r="E271" s="34" t="s">
        <v>506</v>
      </c>
      <c r="F271" s="32" t="s">
        <v>255</v>
      </c>
      <c r="G271" s="32" t="s">
        <v>8</v>
      </c>
      <c r="H271" s="40">
        <v>3.99</v>
      </c>
      <c r="I271" s="32"/>
      <c r="J271" s="35">
        <f>VLOOKUP(B271,'[1]remainderlist'!$B$1:$I$1139,8,FALSE)</f>
        <v>155</v>
      </c>
      <c r="K271" s="33" t="s">
        <v>509</v>
      </c>
      <c r="L271" s="32">
        <v>80</v>
      </c>
      <c r="M271" s="32" t="str">
        <f>"9781452124070"</f>
        <v>9781452124070</v>
      </c>
      <c r="N271" s="36">
        <v>17.99</v>
      </c>
      <c r="O271" s="34" t="s">
        <v>704</v>
      </c>
      <c r="P271" s="19"/>
    </row>
    <row r="272" spans="1:16" ht="29.5" customHeight="1">
      <c r="A272" s="32"/>
      <c r="B272" s="56" t="str">
        <f>"0201452140287"</f>
        <v>0201452140287</v>
      </c>
      <c r="C272" s="33" t="s">
        <v>1377</v>
      </c>
      <c r="D272" s="34" t="s">
        <v>930</v>
      </c>
      <c r="E272" s="34" t="s">
        <v>506</v>
      </c>
      <c r="F272" s="32" t="s">
        <v>285</v>
      </c>
      <c r="G272" s="32" t="s">
        <v>8</v>
      </c>
      <c r="H272" s="40">
        <v>4.99</v>
      </c>
      <c r="I272" s="32"/>
      <c r="J272" s="35">
        <f>VLOOKUP(B272,'[1]remainderlist'!$B$1:$I$1139,8,FALSE)</f>
        <v>154</v>
      </c>
      <c r="K272" s="33" t="s">
        <v>868</v>
      </c>
      <c r="L272" s="32">
        <v>28</v>
      </c>
      <c r="M272" s="32" t="str">
        <f>"9781452140285"</f>
        <v>9781452140285</v>
      </c>
      <c r="N272" s="36">
        <v>24.99</v>
      </c>
      <c r="O272" s="34" t="s">
        <v>894</v>
      </c>
      <c r="P272" s="19"/>
    </row>
    <row r="273" spans="1:16" ht="29.5" customHeight="1">
      <c r="A273" s="32"/>
      <c r="B273" s="56" t="str">
        <f>"0201452137348"</f>
        <v>0201452137348</v>
      </c>
      <c r="C273" s="33" t="s">
        <v>1377</v>
      </c>
      <c r="D273" s="34" t="s">
        <v>902</v>
      </c>
      <c r="E273" s="34" t="s">
        <v>506</v>
      </c>
      <c r="F273" s="32" t="s">
        <v>285</v>
      </c>
      <c r="G273" s="32" t="s">
        <v>8</v>
      </c>
      <c r="H273" s="40">
        <v>4.99</v>
      </c>
      <c r="I273" s="32"/>
      <c r="J273" s="35">
        <f>VLOOKUP(B273,'[1]remainderlist'!$B$1:$I$1139,8,FALSE)</f>
        <v>294</v>
      </c>
      <c r="K273" s="33" t="s">
        <v>807</v>
      </c>
      <c r="L273" s="32">
        <v>30</v>
      </c>
      <c r="M273" s="32" t="str">
        <f>"9781452137346"</f>
        <v>9781452137346</v>
      </c>
      <c r="N273" s="36">
        <v>24.99</v>
      </c>
      <c r="O273" s="34" t="s">
        <v>894</v>
      </c>
      <c r="P273" s="19"/>
    </row>
    <row r="274" spans="1:16" ht="29.5" customHeight="1">
      <c r="A274" s="32"/>
      <c r="B274" s="56" t="str">
        <f>"0201423636702"</f>
        <v>0201423636702</v>
      </c>
      <c r="C274" s="33" t="s">
        <v>766</v>
      </c>
      <c r="D274" s="34" t="s">
        <v>781</v>
      </c>
      <c r="E274" s="34" t="s">
        <v>506</v>
      </c>
      <c r="F274" s="32" t="s">
        <v>204</v>
      </c>
      <c r="G274" s="32" t="s">
        <v>8</v>
      </c>
      <c r="H274" s="40">
        <v>4.25</v>
      </c>
      <c r="I274" s="32"/>
      <c r="J274" s="35">
        <f>VLOOKUP(B274,'[1]remainderlist'!$B$1:$I$1139,8,FALSE)</f>
        <v>618</v>
      </c>
      <c r="K274" s="33" t="s">
        <v>509</v>
      </c>
      <c r="L274" s="32">
        <v>38</v>
      </c>
      <c r="M274" s="32" t="str">
        <f>"9781423636700"</f>
        <v>9781423636700</v>
      </c>
      <c r="N274" s="36">
        <v>23.99</v>
      </c>
      <c r="O274" s="34" t="s">
        <v>782</v>
      </c>
      <c r="P274" s="19"/>
    </row>
    <row r="275" spans="1:16" ht="29.5" customHeight="1">
      <c r="A275" s="32"/>
      <c r="B275" s="56" t="str">
        <f>"0201452124584"</f>
        <v>0201452124584</v>
      </c>
      <c r="C275" s="33" t="s">
        <v>1377</v>
      </c>
      <c r="D275" s="34" t="s">
        <v>932</v>
      </c>
      <c r="E275" s="34" t="s">
        <v>506</v>
      </c>
      <c r="F275" s="32" t="s">
        <v>258</v>
      </c>
      <c r="G275" s="32" t="s">
        <v>8</v>
      </c>
      <c r="H275" s="40">
        <v>4.99</v>
      </c>
      <c r="I275" s="32"/>
      <c r="J275" s="35">
        <f>VLOOKUP(B275,'[1]remainderlist'!$B$1:$I$1139,8,FALSE)</f>
        <v>268</v>
      </c>
      <c r="K275" s="33" t="s">
        <v>868</v>
      </c>
      <c r="L275" s="32">
        <v>20</v>
      </c>
      <c r="M275" s="32" t="str">
        <f>"9781452124582"</f>
        <v>9781452124582</v>
      </c>
      <c r="N275" s="36">
        <v>23.99</v>
      </c>
      <c r="O275" s="34" t="s">
        <v>894</v>
      </c>
      <c r="P275" s="19"/>
    </row>
    <row r="276" spans="1:16" ht="29.5" customHeight="1">
      <c r="A276" s="32"/>
      <c r="B276" s="56" t="str">
        <f>"0221402259401"</f>
        <v>0221402259401</v>
      </c>
      <c r="C276" s="33" t="s">
        <v>511</v>
      </c>
      <c r="D276" s="34" t="s">
        <v>567</v>
      </c>
      <c r="E276" s="34" t="s">
        <v>568</v>
      </c>
      <c r="F276" s="32" t="s">
        <v>470</v>
      </c>
      <c r="G276" s="32" t="s">
        <v>26</v>
      </c>
      <c r="H276" s="40">
        <v>1.49</v>
      </c>
      <c r="I276" s="32"/>
      <c r="J276" s="35">
        <f>VLOOKUP(B276,'[1]remainderlist'!$B$1:$I$1139,8,FALSE)</f>
        <v>50</v>
      </c>
      <c r="K276" s="33" t="s">
        <v>521</v>
      </c>
      <c r="L276" s="32">
        <v>68</v>
      </c>
      <c r="M276" s="32" t="str">
        <f>"9781402259401"</f>
        <v>9781402259401</v>
      </c>
      <c r="N276" s="36">
        <v>12.5</v>
      </c>
      <c r="O276" s="34" t="s">
        <v>569</v>
      </c>
      <c r="P276" s="19"/>
    </row>
    <row r="277" spans="1:16" ht="29.5" customHeight="1">
      <c r="A277" s="32"/>
      <c r="B277" s="56" t="str">
        <f>"0201452129374"</f>
        <v>0201452129374</v>
      </c>
      <c r="C277" s="33" t="s">
        <v>1377</v>
      </c>
      <c r="D277" s="34" t="s">
        <v>1012</v>
      </c>
      <c r="E277" s="34" t="s">
        <v>506</v>
      </c>
      <c r="F277" s="32" t="s">
        <v>271</v>
      </c>
      <c r="G277" s="32" t="s">
        <v>8</v>
      </c>
      <c r="H277" s="40">
        <v>4.99</v>
      </c>
      <c r="I277" s="32"/>
      <c r="J277" s="35">
        <f>VLOOKUP(B277,'[1]remainderlist'!$B$1:$I$1139,8,FALSE)</f>
        <v>919</v>
      </c>
      <c r="K277" s="33" t="s">
        <v>905</v>
      </c>
      <c r="L277" s="32">
        <v>40</v>
      </c>
      <c r="M277" s="32" t="str">
        <f>"9781452129372"</f>
        <v>9781452129372</v>
      </c>
      <c r="N277" s="36">
        <v>23.99</v>
      </c>
      <c r="O277" s="34" t="s">
        <v>710</v>
      </c>
      <c r="P277" s="19"/>
    </row>
    <row r="278" spans="1:16" ht="29.5" customHeight="1">
      <c r="A278" s="32"/>
      <c r="B278" s="56" t="str">
        <f>"0221452112657"</f>
        <v>0221452112657</v>
      </c>
      <c r="C278" s="33" t="s">
        <v>1377</v>
      </c>
      <c r="D278" s="34" t="s">
        <v>656</v>
      </c>
      <c r="E278" s="34" t="s">
        <v>506</v>
      </c>
      <c r="F278" s="32" t="s">
        <v>221</v>
      </c>
      <c r="G278" s="32" t="s">
        <v>8</v>
      </c>
      <c r="H278" s="40">
        <v>4.99</v>
      </c>
      <c r="I278" s="32"/>
      <c r="J278" s="35">
        <f>VLOOKUP(B278,'[1]remainderlist'!$B$1:$I$1139,8,FALSE)</f>
        <v>203</v>
      </c>
      <c r="K278" s="33" t="s">
        <v>647</v>
      </c>
      <c r="L278" s="32">
        <v>30</v>
      </c>
      <c r="M278" s="32" t="str">
        <f>"9781452112657"</f>
        <v>9781452112657</v>
      </c>
      <c r="N278" s="36">
        <v>23.99</v>
      </c>
      <c r="O278" s="34" t="s">
        <v>657</v>
      </c>
      <c r="P278" s="19"/>
    </row>
    <row r="279" spans="1:16" ht="29.5" customHeight="1">
      <c r="A279" s="32"/>
      <c r="B279" s="56" t="str">
        <f>"0200811864833"</f>
        <v>0200811864833</v>
      </c>
      <c r="C279" s="33" t="s">
        <v>1377</v>
      </c>
      <c r="D279" s="34" t="s">
        <v>997</v>
      </c>
      <c r="E279" s="34" t="s">
        <v>998</v>
      </c>
      <c r="F279" s="32" t="s">
        <v>17</v>
      </c>
      <c r="G279" s="32" t="s">
        <v>6</v>
      </c>
      <c r="H279" s="40">
        <v>1.99</v>
      </c>
      <c r="I279" s="32"/>
      <c r="J279" s="35">
        <f>VLOOKUP(B279,'[1]remainderlist'!$B$1:$I$1139,8,FALSE)</f>
        <v>90</v>
      </c>
      <c r="K279" s="33" t="s">
        <v>905</v>
      </c>
      <c r="L279" s="32">
        <v>80</v>
      </c>
      <c r="M279" s="32" t="str">
        <f>"9780811864831"</f>
        <v>9780811864831</v>
      </c>
      <c r="N279" s="36">
        <v>10.99</v>
      </c>
      <c r="O279" s="34" t="s">
        <v>999</v>
      </c>
      <c r="P279" s="19"/>
    </row>
    <row r="280" spans="1:16" ht="29.5" customHeight="1">
      <c r="A280" s="32"/>
      <c r="B280" s="56" t="str">
        <f>"0201616894902"</f>
        <v>0201616894902</v>
      </c>
      <c r="C280" s="33" t="s">
        <v>1380</v>
      </c>
      <c r="D280" s="34" t="s">
        <v>1327</v>
      </c>
      <c r="E280" s="34" t="s">
        <v>506</v>
      </c>
      <c r="F280" s="32" t="s">
        <v>340</v>
      </c>
      <c r="G280" s="32" t="s">
        <v>8</v>
      </c>
      <c r="H280" s="40">
        <v>6.24</v>
      </c>
      <c r="I280" s="37" t="s">
        <v>501</v>
      </c>
      <c r="J280" s="35">
        <f>VLOOKUP(B280,'[1]remainderlist'!$B$1:$I$1139,8,FALSE)</f>
        <v>120</v>
      </c>
      <c r="K280" s="33" t="s">
        <v>986</v>
      </c>
      <c r="L280" s="32">
        <v>40</v>
      </c>
      <c r="M280" s="32" t="str">
        <f>"9781616894900"</f>
        <v>9781616894900</v>
      </c>
      <c r="N280" s="36">
        <v>24.95</v>
      </c>
      <c r="O280" s="34" t="s">
        <v>657</v>
      </c>
      <c r="P280" s="19"/>
    </row>
    <row r="281" spans="1:16" ht="29.5" customHeight="1">
      <c r="A281" s="32"/>
      <c r="B281" s="56" t="str">
        <f>"0201616894940"</f>
        <v>0201616894940</v>
      </c>
      <c r="C281" s="33" t="s">
        <v>1380</v>
      </c>
      <c r="D281" s="34" t="s">
        <v>1317</v>
      </c>
      <c r="E281" s="34" t="s">
        <v>506</v>
      </c>
      <c r="F281" s="32" t="s">
        <v>341</v>
      </c>
      <c r="G281" s="32" t="s">
        <v>8</v>
      </c>
      <c r="H281" s="40">
        <v>6.24</v>
      </c>
      <c r="I281" s="37" t="s">
        <v>501</v>
      </c>
      <c r="J281" s="35">
        <f>VLOOKUP(B281,'[1]remainderlist'!$B$1:$I$1139,8,FALSE)</f>
        <v>64</v>
      </c>
      <c r="K281" s="33" t="s">
        <v>986</v>
      </c>
      <c r="L281" s="32">
        <v>34</v>
      </c>
      <c r="M281" s="32" t="str">
        <f>"9781616894948"</f>
        <v>9781616894948</v>
      </c>
      <c r="N281" s="36">
        <v>24.95</v>
      </c>
      <c r="O281" s="34" t="s">
        <v>1305</v>
      </c>
      <c r="P281" s="19"/>
    </row>
    <row r="282" spans="1:16" ht="29.5" customHeight="1">
      <c r="A282" s="32"/>
      <c r="B282" s="56" t="str">
        <f>"0221402268786"</f>
        <v>0221402268786</v>
      </c>
      <c r="C282" s="33" t="s">
        <v>511</v>
      </c>
      <c r="D282" s="34" t="s">
        <v>539</v>
      </c>
      <c r="E282" s="34" t="s">
        <v>506</v>
      </c>
      <c r="F282" s="32" t="s">
        <v>184</v>
      </c>
      <c r="G282" s="32" t="s">
        <v>19</v>
      </c>
      <c r="H282" s="40">
        <v>3.99</v>
      </c>
      <c r="I282" s="32"/>
      <c r="J282" s="35">
        <f>VLOOKUP(B282,'[1]remainderlist'!$B$1:$I$1139,8,FALSE)</f>
        <v>100</v>
      </c>
      <c r="K282" s="33" t="s">
        <v>526</v>
      </c>
      <c r="L282" s="32">
        <v>18</v>
      </c>
      <c r="M282" s="32" t="str">
        <f>"9781402268786"</f>
        <v>9781402268786</v>
      </c>
      <c r="N282" s="36">
        <v>23.99</v>
      </c>
      <c r="O282" s="34" t="s">
        <v>541</v>
      </c>
      <c r="P282" s="19"/>
    </row>
    <row r="283" spans="1:16" ht="29.5" customHeight="1">
      <c r="A283" s="32"/>
      <c r="B283" s="56" t="str">
        <f>"0221402256394"</f>
        <v>0221402256394</v>
      </c>
      <c r="C283" s="33" t="s">
        <v>511</v>
      </c>
      <c r="D283" s="34" t="s">
        <v>517</v>
      </c>
      <c r="E283" s="34" t="s">
        <v>506</v>
      </c>
      <c r="F283" s="32" t="s">
        <v>184</v>
      </c>
      <c r="G283" s="32" t="s">
        <v>19</v>
      </c>
      <c r="H283" s="40">
        <v>3.99</v>
      </c>
      <c r="I283" s="32"/>
      <c r="J283" s="35">
        <f>VLOOKUP(B283,'[1]remainderlist'!$B$1:$I$1139,8,FALSE)</f>
        <v>320</v>
      </c>
      <c r="K283" s="33" t="s">
        <v>515</v>
      </c>
      <c r="L283" s="32">
        <v>30</v>
      </c>
      <c r="M283" s="32" t="str">
        <f>"9781402256394"</f>
        <v>9781402256394</v>
      </c>
      <c r="N283" s="36">
        <v>21.99</v>
      </c>
      <c r="O283" s="34" t="s">
        <v>519</v>
      </c>
      <c r="P283" s="19"/>
    </row>
    <row r="284" spans="1:16" ht="29.5" customHeight="1">
      <c r="A284" s="32"/>
      <c r="B284" s="56" t="str">
        <f>"0201452111850"</f>
        <v>0201452111850</v>
      </c>
      <c r="C284" s="33" t="s">
        <v>1377</v>
      </c>
      <c r="D284" s="34" t="s">
        <v>1002</v>
      </c>
      <c r="E284" s="34" t="s">
        <v>506</v>
      </c>
      <c r="F284" s="32" t="s">
        <v>238</v>
      </c>
      <c r="G284" s="32" t="s">
        <v>8</v>
      </c>
      <c r="H284" s="40">
        <v>3.99</v>
      </c>
      <c r="I284" s="32"/>
      <c r="J284" s="35">
        <f>VLOOKUP(B284,'[1]remainderlist'!$B$1:$I$1139,8,FALSE)</f>
        <v>142</v>
      </c>
      <c r="K284" s="33" t="s">
        <v>905</v>
      </c>
      <c r="L284" s="32">
        <v>30</v>
      </c>
      <c r="M284" s="32" t="str">
        <f>"9781452111858"</f>
        <v>9781452111858</v>
      </c>
      <c r="N284" s="36">
        <v>21.99</v>
      </c>
      <c r="O284" s="34" t="s">
        <v>894</v>
      </c>
      <c r="P284" s="19"/>
    </row>
    <row r="285" spans="1:16" ht="29.5" customHeight="1">
      <c r="A285" s="32"/>
      <c r="B285" s="56" t="str">
        <f>"0201423635286"</f>
        <v>0201423635286</v>
      </c>
      <c r="C285" s="33" t="s">
        <v>766</v>
      </c>
      <c r="D285" s="34" t="s">
        <v>768</v>
      </c>
      <c r="E285" s="34" t="s">
        <v>769</v>
      </c>
      <c r="F285" s="32" t="s">
        <v>197</v>
      </c>
      <c r="G285" s="32" t="s">
        <v>8</v>
      </c>
      <c r="H285" s="40">
        <v>4.25</v>
      </c>
      <c r="I285" s="32"/>
      <c r="J285" s="35">
        <f>VLOOKUP(B285,'[1]remainderlist'!$B$1:$I$1139,8,FALSE)</f>
        <v>90</v>
      </c>
      <c r="K285" s="33" t="s">
        <v>643</v>
      </c>
      <c r="L285" s="32">
        <v>30</v>
      </c>
      <c r="M285" s="32" t="str">
        <f>"9781423635284"</f>
        <v>9781423635284</v>
      </c>
      <c r="N285" s="36">
        <v>23.99</v>
      </c>
      <c r="O285" s="34" t="s">
        <v>635</v>
      </c>
      <c r="P285" s="19"/>
    </row>
    <row r="286" spans="1:16" ht="29.5" customHeight="1">
      <c r="A286" s="32"/>
      <c r="B286" s="56" t="str">
        <f>"0201423646893"</f>
        <v>0201423646893</v>
      </c>
      <c r="C286" s="33" t="s">
        <v>766</v>
      </c>
      <c r="D286" s="34" t="s">
        <v>1248</v>
      </c>
      <c r="E286" s="34" t="s">
        <v>506</v>
      </c>
      <c r="F286" s="32" t="s">
        <v>217</v>
      </c>
      <c r="G286" s="32" t="s">
        <v>8</v>
      </c>
      <c r="H286" s="40">
        <v>5.25</v>
      </c>
      <c r="I286" s="37" t="s">
        <v>501</v>
      </c>
      <c r="J286" s="35">
        <f>VLOOKUP(B286,'[1]remainderlist'!$B$1:$I$1139,8,FALSE)</f>
        <v>266</v>
      </c>
      <c r="K286" s="33" t="s">
        <v>1221</v>
      </c>
      <c r="L286" s="32">
        <v>38</v>
      </c>
      <c r="M286" s="32" t="str">
        <f>"9781423646891"</f>
        <v>9781423646891</v>
      </c>
      <c r="N286" s="36">
        <v>20.99</v>
      </c>
      <c r="O286" s="34" t="s">
        <v>1249</v>
      </c>
      <c r="P286" s="19"/>
    </row>
    <row r="287" spans="1:16" ht="29.5" customHeight="1">
      <c r="A287" s="32"/>
      <c r="B287" s="56" t="str">
        <f>"0201423646916"</f>
        <v>0201423646916</v>
      </c>
      <c r="C287" s="33" t="s">
        <v>766</v>
      </c>
      <c r="D287" s="34" t="s">
        <v>1252</v>
      </c>
      <c r="E287" s="34" t="s">
        <v>506</v>
      </c>
      <c r="F287" s="32" t="s">
        <v>217</v>
      </c>
      <c r="G287" s="32" t="s">
        <v>8</v>
      </c>
      <c r="H287" s="40">
        <v>5.25</v>
      </c>
      <c r="I287" s="37" t="s">
        <v>501</v>
      </c>
      <c r="J287" s="35">
        <f>VLOOKUP(B287,'[1]remainderlist'!$B$1:$I$1139,8,FALSE)</f>
        <v>304</v>
      </c>
      <c r="K287" s="33" t="s">
        <v>1221</v>
      </c>
      <c r="L287" s="32">
        <v>38</v>
      </c>
      <c r="M287" s="32" t="str">
        <f>"9781423646914"</f>
        <v>9781423646914</v>
      </c>
      <c r="N287" s="36">
        <v>20.99</v>
      </c>
      <c r="O287" s="34" t="s">
        <v>1249</v>
      </c>
      <c r="P287" s="19"/>
    </row>
    <row r="288" spans="1:16" ht="29.5" customHeight="1">
      <c r="A288" s="32"/>
      <c r="B288" s="56" t="str">
        <f>"0201452135429"</f>
        <v>0201452135429</v>
      </c>
      <c r="C288" s="33" t="s">
        <v>1377</v>
      </c>
      <c r="D288" s="34" t="s">
        <v>929</v>
      </c>
      <c r="E288" s="34" t="s">
        <v>506</v>
      </c>
      <c r="F288" s="32" t="s">
        <v>283</v>
      </c>
      <c r="G288" s="32" t="s">
        <v>8</v>
      </c>
      <c r="H288" s="40">
        <v>4.99</v>
      </c>
      <c r="I288" s="32"/>
      <c r="J288" s="35">
        <f>VLOOKUP(B288,'[1]remainderlist'!$B$1:$I$1139,8,FALSE)</f>
        <v>140</v>
      </c>
      <c r="K288" s="33" t="s">
        <v>868</v>
      </c>
      <c r="L288" s="32">
        <v>32</v>
      </c>
      <c r="M288" s="32" t="str">
        <f>"9781452135427"</f>
        <v>9781452135427</v>
      </c>
      <c r="N288" s="36">
        <v>23.99</v>
      </c>
      <c r="O288" s="34" t="s">
        <v>894</v>
      </c>
      <c r="P288" s="19"/>
    </row>
    <row r="289" spans="1:16" s="10" customFormat="1" ht="15">
      <c r="A289" s="45"/>
      <c r="B289" s="52" t="s">
        <v>1372</v>
      </c>
      <c r="C289" s="6"/>
      <c r="D289" s="6"/>
      <c r="E289" s="6"/>
      <c r="F289" s="7"/>
      <c r="G289" s="7"/>
      <c r="H289" s="44"/>
      <c r="I289" s="8"/>
      <c r="J289" s="7"/>
      <c r="K289" s="6"/>
      <c r="L289" s="7"/>
      <c r="M289" s="9"/>
      <c r="N289" s="25"/>
      <c r="O289" s="25"/>
      <c r="P289" s="30"/>
    </row>
    <row r="290" spans="1:16" ht="29.5" customHeight="1">
      <c r="A290" s="32"/>
      <c r="B290" s="56" t="str">
        <f>"0201423633923"</f>
        <v>0201423633923</v>
      </c>
      <c r="C290" s="33" t="s">
        <v>766</v>
      </c>
      <c r="D290" s="34" t="s">
        <v>1198</v>
      </c>
      <c r="E290" s="34" t="s">
        <v>506</v>
      </c>
      <c r="F290" s="32" t="s">
        <v>192</v>
      </c>
      <c r="G290" s="32" t="s">
        <v>52</v>
      </c>
      <c r="H290" s="40">
        <v>2.49</v>
      </c>
      <c r="I290" s="32"/>
      <c r="J290" s="35">
        <f>VLOOKUP(B290,'[1]remainderlist'!$B$1:$I$1139,8,FALSE)</f>
        <v>56</v>
      </c>
      <c r="K290" s="33" t="s">
        <v>647</v>
      </c>
      <c r="L290" s="32">
        <v>66</v>
      </c>
      <c r="M290" s="32" t="str">
        <f>"9781423633921"</f>
        <v>9781423633921</v>
      </c>
      <c r="N290" s="36">
        <v>13.99</v>
      </c>
      <c r="O290" s="34" t="s">
        <v>767</v>
      </c>
      <c r="P290" s="19"/>
    </row>
    <row r="291" spans="1:16" ht="29.5" customHeight="1">
      <c r="A291" s="32"/>
      <c r="B291" s="56" t="str">
        <f>"0201423634050"</f>
        <v>0201423634050</v>
      </c>
      <c r="C291" s="33" t="s">
        <v>766</v>
      </c>
      <c r="D291" s="34" t="s">
        <v>793</v>
      </c>
      <c r="E291" s="34" t="s">
        <v>794</v>
      </c>
      <c r="F291" s="32" t="s">
        <v>194</v>
      </c>
      <c r="G291" s="32" t="s">
        <v>6</v>
      </c>
      <c r="H291" s="40">
        <v>1.99</v>
      </c>
      <c r="I291" s="32"/>
      <c r="J291" s="35">
        <f>VLOOKUP(B291,'[1]remainderlist'!$B$1:$I$1139,8,FALSE)</f>
        <v>65</v>
      </c>
      <c r="K291" s="33" t="s">
        <v>643</v>
      </c>
      <c r="L291" s="32">
        <v>70</v>
      </c>
      <c r="M291" s="32" t="str">
        <f>"9781423634058"</f>
        <v>9781423634058</v>
      </c>
      <c r="N291" s="36">
        <v>13.99</v>
      </c>
      <c r="O291" s="34" t="s">
        <v>795</v>
      </c>
      <c r="P291" s="19"/>
    </row>
    <row r="292" spans="1:16" ht="29.5" customHeight="1">
      <c r="A292" s="32"/>
      <c r="B292" s="56" t="str">
        <f>"0201423638935"</f>
        <v>0201423638935</v>
      </c>
      <c r="C292" s="33" t="s">
        <v>766</v>
      </c>
      <c r="D292" s="34" t="s">
        <v>1200</v>
      </c>
      <c r="E292" s="34" t="s">
        <v>1201</v>
      </c>
      <c r="F292" s="32" t="s">
        <v>209</v>
      </c>
      <c r="G292" s="32" t="s">
        <v>6</v>
      </c>
      <c r="H292" s="40">
        <v>2.99</v>
      </c>
      <c r="I292" s="32"/>
      <c r="J292" s="35">
        <f>VLOOKUP(B292,'[1]remainderlist'!$B$1:$I$1139,8,FALSE)</f>
        <v>91</v>
      </c>
      <c r="K292" s="33" t="s">
        <v>868</v>
      </c>
      <c r="L292" s="32">
        <v>100</v>
      </c>
      <c r="M292" s="32" t="str">
        <f>"9781423638933"</f>
        <v>9781423638933</v>
      </c>
      <c r="N292" s="36">
        <v>13.99</v>
      </c>
      <c r="O292" s="34" t="s">
        <v>1202</v>
      </c>
      <c r="P292" s="19"/>
    </row>
    <row r="293" spans="1:16" ht="29.5" customHeight="1">
      <c r="A293" s="32"/>
      <c r="B293" s="56" t="str">
        <f>"0201616895107"</f>
        <v>0201616895107</v>
      </c>
      <c r="C293" s="33" t="s">
        <v>1380</v>
      </c>
      <c r="D293" s="34" t="s">
        <v>1306</v>
      </c>
      <c r="E293" s="34" t="s">
        <v>1307</v>
      </c>
      <c r="F293" s="32" t="s">
        <v>342</v>
      </c>
      <c r="G293" s="32" t="s">
        <v>6</v>
      </c>
      <c r="H293" s="40">
        <v>4.5</v>
      </c>
      <c r="I293" s="37" t="s">
        <v>501</v>
      </c>
      <c r="J293" s="35">
        <f>VLOOKUP(B293,'[1]remainderlist'!$B$1:$I$1139,8,FALSE)</f>
        <v>42</v>
      </c>
      <c r="K293" s="33" t="s">
        <v>986</v>
      </c>
      <c r="L293" s="32">
        <v>42</v>
      </c>
      <c r="M293" s="32" t="str">
        <f>"9781616895105"</f>
        <v>9781616895105</v>
      </c>
      <c r="N293" s="36">
        <v>17.99</v>
      </c>
      <c r="O293" s="34" t="s">
        <v>1308</v>
      </c>
      <c r="P293" s="19"/>
    </row>
    <row r="294" spans="1:16" ht="29.5" customHeight="1">
      <c r="A294" s="32"/>
      <c r="B294" s="56" t="str">
        <f>"0201452120319"</f>
        <v>0201452120319</v>
      </c>
      <c r="C294" s="33" t="s">
        <v>1377</v>
      </c>
      <c r="D294" s="34" t="s">
        <v>755</v>
      </c>
      <c r="E294" s="34" t="s">
        <v>506</v>
      </c>
      <c r="F294" s="32" t="s">
        <v>250</v>
      </c>
      <c r="G294" s="32" t="s">
        <v>234</v>
      </c>
      <c r="H294" s="40">
        <v>4.99</v>
      </c>
      <c r="I294" s="32"/>
      <c r="J294" s="35">
        <f>VLOOKUP(B294,'[1]remainderlist'!$B$1:$I$1139,8,FALSE)</f>
        <v>102</v>
      </c>
      <c r="K294" s="33" t="s">
        <v>509</v>
      </c>
      <c r="L294" s="32">
        <v>24</v>
      </c>
      <c r="M294" s="32" t="str">
        <f>"9781452120317"</f>
        <v>9781452120317</v>
      </c>
      <c r="N294" s="36">
        <v>23.99</v>
      </c>
      <c r="O294" s="34" t="s">
        <v>611</v>
      </c>
      <c r="P294" s="19"/>
    </row>
    <row r="295" spans="1:16" ht="29.5" customHeight="1">
      <c r="A295" s="32"/>
      <c r="B295" s="56" t="str">
        <f>"0201423633978"</f>
        <v>0201423633978</v>
      </c>
      <c r="C295" s="33" t="s">
        <v>766</v>
      </c>
      <c r="D295" s="34" t="s">
        <v>774</v>
      </c>
      <c r="E295" s="34" t="s">
        <v>506</v>
      </c>
      <c r="F295" s="32" t="s">
        <v>193</v>
      </c>
      <c r="G295" s="32" t="s">
        <v>8</v>
      </c>
      <c r="H295" s="40">
        <v>5</v>
      </c>
      <c r="I295" s="32"/>
      <c r="J295" s="35">
        <f>VLOOKUP(B295,'[1]remainderlist'!$B$1:$I$1139,8,FALSE)</f>
        <v>98</v>
      </c>
      <c r="K295" s="33" t="s">
        <v>643</v>
      </c>
      <c r="L295" s="32">
        <v>16</v>
      </c>
      <c r="M295" s="32" t="str">
        <f>"9781423633976"</f>
        <v>9781423633976</v>
      </c>
      <c r="N295" s="36">
        <v>27.99</v>
      </c>
      <c r="O295" s="34" t="s">
        <v>775</v>
      </c>
      <c r="P295" s="19"/>
    </row>
    <row r="296" spans="1:16" ht="29.5" customHeight="1">
      <c r="A296" s="32"/>
      <c r="B296" s="56" t="str">
        <f>"0201423636214"</f>
        <v>0201423636214</v>
      </c>
      <c r="C296" s="33" t="s">
        <v>766</v>
      </c>
      <c r="D296" s="34" t="s">
        <v>938</v>
      </c>
      <c r="E296" s="34" t="s">
        <v>506</v>
      </c>
      <c r="F296" s="32" t="s">
        <v>200</v>
      </c>
      <c r="G296" s="32" t="s">
        <v>6</v>
      </c>
      <c r="H296" s="40">
        <v>2.49</v>
      </c>
      <c r="I296" s="32"/>
      <c r="J296" s="35">
        <f>VLOOKUP(B296,'[1]remainderlist'!$B$1:$I$1139,8,FALSE)</f>
        <v>6641</v>
      </c>
      <c r="K296" s="33" t="s">
        <v>643</v>
      </c>
      <c r="L296" s="32">
        <v>60</v>
      </c>
      <c r="M296" s="32" t="str">
        <f>"9781423636212"</f>
        <v>9781423636212</v>
      </c>
      <c r="N296" s="36">
        <v>12.99</v>
      </c>
      <c r="O296" s="34" t="s">
        <v>775</v>
      </c>
      <c r="P296" s="19"/>
    </row>
    <row r="297" spans="1:16" ht="29.5" customHeight="1">
      <c r="A297" s="32"/>
      <c r="B297" s="56" t="str">
        <f>"0201423634579"</f>
        <v>0201423634579</v>
      </c>
      <c r="C297" s="33" t="s">
        <v>766</v>
      </c>
      <c r="D297" s="34" t="s">
        <v>764</v>
      </c>
      <c r="E297" s="34" t="s">
        <v>506</v>
      </c>
      <c r="F297" s="32" t="s">
        <v>195</v>
      </c>
      <c r="G297" s="32" t="s">
        <v>52</v>
      </c>
      <c r="H297" s="40">
        <v>2.49</v>
      </c>
      <c r="I297" s="32"/>
      <c r="J297" s="35">
        <f>VLOOKUP(B297,'[1]remainderlist'!$B$1:$I$1139,8,FALSE)</f>
        <v>65</v>
      </c>
      <c r="K297" s="33" t="s">
        <v>647</v>
      </c>
      <c r="L297" s="32">
        <v>66</v>
      </c>
      <c r="M297" s="32" t="str">
        <f>"9781423634577"</f>
        <v>9781423634577</v>
      </c>
      <c r="N297" s="36">
        <v>13.99</v>
      </c>
      <c r="O297" s="34" t="s">
        <v>767</v>
      </c>
      <c r="P297" s="19"/>
    </row>
    <row r="298" spans="1:16" ht="29.5" customHeight="1">
      <c r="A298" s="32"/>
      <c r="B298" s="56" t="str">
        <f>"0201780674867"</f>
        <v>0201780674867</v>
      </c>
      <c r="C298" s="33" t="s">
        <v>1343</v>
      </c>
      <c r="D298" s="34" t="s">
        <v>1019</v>
      </c>
      <c r="E298" s="34" t="s">
        <v>1020</v>
      </c>
      <c r="F298" s="32" t="s">
        <v>378</v>
      </c>
      <c r="G298" s="32" t="s">
        <v>6</v>
      </c>
      <c r="H298" s="40">
        <v>4.99</v>
      </c>
      <c r="I298" s="32"/>
      <c r="J298" s="35">
        <f>VLOOKUP(B298,'[1]remainderlist'!$B$1:$I$1139,8,FALSE)</f>
        <v>92</v>
      </c>
      <c r="K298" s="33" t="s">
        <v>807</v>
      </c>
      <c r="L298" s="32">
        <v>24</v>
      </c>
      <c r="M298" s="32" t="str">
        <f>"9781780674865"</f>
        <v>9781780674865</v>
      </c>
      <c r="N298" s="36">
        <v>23.95</v>
      </c>
      <c r="O298" s="34" t="s">
        <v>1021</v>
      </c>
      <c r="P298" s="19"/>
    </row>
    <row r="299" spans="1:16" ht="29.5" customHeight="1">
      <c r="A299" s="32"/>
      <c r="B299" s="56" t="str">
        <f>"0201452128100"</f>
        <v>0201452128100</v>
      </c>
      <c r="C299" s="33" t="s">
        <v>1377</v>
      </c>
      <c r="D299" s="34" t="s">
        <v>717</v>
      </c>
      <c r="E299" s="34" t="s">
        <v>718</v>
      </c>
      <c r="F299" s="32" t="s">
        <v>267</v>
      </c>
      <c r="G299" s="32" t="s">
        <v>6</v>
      </c>
      <c r="H299" s="40">
        <v>4.99</v>
      </c>
      <c r="I299" s="32"/>
      <c r="J299" s="35">
        <f>VLOOKUP(B299,'[1]remainderlist'!$B$1:$I$1139,8,FALSE)</f>
        <v>249</v>
      </c>
      <c r="K299" s="33" t="s">
        <v>509</v>
      </c>
      <c r="L299" s="32">
        <v>40</v>
      </c>
      <c r="M299" s="32" t="str">
        <f>"9781452128108"</f>
        <v>9781452128108</v>
      </c>
      <c r="N299" s="36">
        <v>23.95</v>
      </c>
      <c r="O299" s="34" t="s">
        <v>506</v>
      </c>
      <c r="P299" s="19"/>
    </row>
    <row r="300" spans="1:16" ht="29.5" customHeight="1">
      <c r="A300" s="32"/>
      <c r="B300" s="56" t="str">
        <f>"0201780674041"</f>
        <v>0201780674041</v>
      </c>
      <c r="C300" s="33" t="s">
        <v>1343</v>
      </c>
      <c r="D300" s="34" t="s">
        <v>1022</v>
      </c>
      <c r="E300" s="34" t="s">
        <v>1023</v>
      </c>
      <c r="F300" s="32" t="s">
        <v>375</v>
      </c>
      <c r="G300" s="32" t="s">
        <v>8</v>
      </c>
      <c r="H300" s="40">
        <v>5.99</v>
      </c>
      <c r="I300" s="32"/>
      <c r="J300" s="35">
        <f>VLOOKUP(B300,'[1]remainderlist'!$B$1:$I$1139,8,FALSE)</f>
        <v>99</v>
      </c>
      <c r="K300" s="33" t="s">
        <v>807</v>
      </c>
      <c r="L300" s="32">
        <v>20</v>
      </c>
      <c r="M300" s="32" t="str">
        <f>"9781780674049"</f>
        <v>9781780674049</v>
      </c>
      <c r="N300" s="36">
        <v>27.95</v>
      </c>
      <c r="O300" s="34" t="s">
        <v>1024</v>
      </c>
      <c r="P300" s="19"/>
    </row>
    <row r="301" spans="1:16" ht="29.5" customHeight="1">
      <c r="A301" s="32"/>
      <c r="B301" s="56" t="str">
        <f>"0201423641157"</f>
        <v>0201423641157</v>
      </c>
      <c r="C301" s="33" t="s">
        <v>766</v>
      </c>
      <c r="D301" s="34" t="s">
        <v>1148</v>
      </c>
      <c r="E301" s="34" t="s">
        <v>506</v>
      </c>
      <c r="F301" s="32" t="s">
        <v>211</v>
      </c>
      <c r="G301" s="32" t="s">
        <v>6</v>
      </c>
      <c r="H301" s="40">
        <v>2.49</v>
      </c>
      <c r="I301" s="32"/>
      <c r="J301" s="35">
        <f>VLOOKUP(B301,'[1]remainderlist'!$B$1:$I$1139,8,FALSE)</f>
        <v>1395</v>
      </c>
      <c r="K301" s="33" t="s">
        <v>868</v>
      </c>
      <c r="L301" s="32">
        <v>56</v>
      </c>
      <c r="M301" s="32" t="str">
        <f>"9781423641155"</f>
        <v>9781423641155</v>
      </c>
      <c r="N301" s="36">
        <v>12.99</v>
      </c>
      <c r="O301" s="34" t="s">
        <v>1149</v>
      </c>
      <c r="P301" s="19"/>
    </row>
    <row r="302" spans="1:16" ht="29.5" customHeight="1">
      <c r="A302" s="32"/>
      <c r="B302" s="56" t="str">
        <f>"0201743607840"</f>
        <v>0201743607840</v>
      </c>
      <c r="C302" s="33" t="s">
        <v>1342</v>
      </c>
      <c r="D302" s="34" t="s">
        <v>950</v>
      </c>
      <c r="E302" s="34" t="s">
        <v>951</v>
      </c>
      <c r="F302" s="32"/>
      <c r="G302" s="32" t="s">
        <v>8</v>
      </c>
      <c r="H302" s="40">
        <v>3.99</v>
      </c>
      <c r="I302" s="32"/>
      <c r="J302" s="35">
        <f>VLOOKUP(B302,'[1]remainderlist'!$B$1:$I$1139,8,FALSE)</f>
        <v>276</v>
      </c>
      <c r="K302" s="33" t="s">
        <v>868</v>
      </c>
      <c r="L302" s="32">
        <v>28</v>
      </c>
      <c r="M302" s="32" t="str">
        <f>"9781743607848"</f>
        <v>9781743607848</v>
      </c>
      <c r="N302" s="36">
        <v>20.99</v>
      </c>
      <c r="O302" s="34" t="s">
        <v>569</v>
      </c>
      <c r="P302" s="19"/>
    </row>
    <row r="303" spans="1:16" ht="29.5" customHeight="1">
      <c r="A303" s="32"/>
      <c r="B303" s="56" t="str">
        <f>"0201452155052"</f>
        <v>0201452155052</v>
      </c>
      <c r="C303" s="33" t="s">
        <v>1377</v>
      </c>
      <c r="D303" s="34" t="s">
        <v>1175</v>
      </c>
      <c r="E303" s="34" t="s">
        <v>1176</v>
      </c>
      <c r="F303" s="32" t="s">
        <v>323</v>
      </c>
      <c r="G303" s="32" t="s">
        <v>6</v>
      </c>
      <c r="H303" s="40">
        <v>3.99</v>
      </c>
      <c r="I303" s="32"/>
      <c r="J303" s="35">
        <f>VLOOKUP(B303,'[1]remainderlist'!$B$1:$I$1139,8,FALSE)</f>
        <v>100</v>
      </c>
      <c r="K303" s="33" t="s">
        <v>905</v>
      </c>
      <c r="L303" s="32">
        <v>40</v>
      </c>
      <c r="M303" s="32" t="str">
        <f>"9781452155050"</f>
        <v>9781452155050</v>
      </c>
      <c r="N303" s="36">
        <v>20.99</v>
      </c>
      <c r="O303" s="34" t="s">
        <v>1177</v>
      </c>
      <c r="P303" s="19"/>
    </row>
    <row r="304" spans="1:16" ht="29.5" customHeight="1">
      <c r="A304" s="32"/>
      <c r="B304" s="56" t="str">
        <f>"0201452128933"</f>
        <v>0201452128933</v>
      </c>
      <c r="C304" s="33" t="s">
        <v>1377</v>
      </c>
      <c r="D304" s="34" t="s">
        <v>899</v>
      </c>
      <c r="E304" s="34" t="s">
        <v>900</v>
      </c>
      <c r="F304" s="32" t="s">
        <v>269</v>
      </c>
      <c r="G304" s="32" t="s">
        <v>6</v>
      </c>
      <c r="H304" s="40">
        <v>3.99</v>
      </c>
      <c r="I304" s="32"/>
      <c r="J304" s="35">
        <f>VLOOKUP(B304,'[1]remainderlist'!$B$1:$I$1139,8,FALSE)</f>
        <v>265</v>
      </c>
      <c r="K304" s="33" t="s">
        <v>807</v>
      </c>
      <c r="L304" s="32">
        <v>34</v>
      </c>
      <c r="M304" s="32" t="str">
        <f>"9781452128931"</f>
        <v>9781452128931</v>
      </c>
      <c r="N304" s="36">
        <v>20.99</v>
      </c>
      <c r="O304" s="34" t="s">
        <v>901</v>
      </c>
      <c r="P304" s="19"/>
    </row>
    <row r="305" spans="1:16" s="10" customFormat="1" ht="15">
      <c r="A305" s="45"/>
      <c r="B305" s="52" t="s">
        <v>1373</v>
      </c>
      <c r="C305" s="6"/>
      <c r="D305" s="6"/>
      <c r="E305" s="6"/>
      <c r="F305" s="7"/>
      <c r="G305" s="7"/>
      <c r="H305" s="44"/>
      <c r="I305" s="8"/>
      <c r="J305" s="7"/>
      <c r="K305" s="6"/>
      <c r="L305" s="7"/>
      <c r="M305" s="9"/>
      <c r="N305" s="25"/>
      <c r="O305" s="25"/>
      <c r="P305" s="30"/>
    </row>
    <row r="306" spans="1:16" ht="29.5" customHeight="1">
      <c r="A306" s="32"/>
      <c r="B306" s="56" t="str">
        <f>"0201452138154"</f>
        <v>0201452138154</v>
      </c>
      <c r="C306" s="33" t="s">
        <v>1377</v>
      </c>
      <c r="D306" s="34" t="s">
        <v>934</v>
      </c>
      <c r="E306" s="34" t="s">
        <v>935</v>
      </c>
      <c r="F306" s="32" t="s">
        <v>286</v>
      </c>
      <c r="G306" s="32" t="s">
        <v>8</v>
      </c>
      <c r="H306" s="40">
        <v>3.99</v>
      </c>
      <c r="I306" s="32"/>
      <c r="J306" s="35">
        <f>VLOOKUP(B306,'[1]remainderlist'!$B$1:$I$1139,8,FALSE)</f>
        <v>374</v>
      </c>
      <c r="K306" s="33" t="s">
        <v>868</v>
      </c>
      <c r="L306" s="32">
        <v>32</v>
      </c>
      <c r="M306" s="32" t="str">
        <f>"9781452138152"</f>
        <v>9781452138152</v>
      </c>
      <c r="N306" s="36">
        <v>21.99</v>
      </c>
      <c r="O306" s="34" t="s">
        <v>936</v>
      </c>
      <c r="P306" s="19"/>
    </row>
    <row r="307" spans="1:16" ht="29.5" customHeight="1">
      <c r="A307" s="32"/>
      <c r="B307" s="56" t="str">
        <f>"0201452142823"</f>
        <v>0201452142823</v>
      </c>
      <c r="C307" s="33" t="s">
        <v>1377</v>
      </c>
      <c r="D307" s="34" t="s">
        <v>898</v>
      </c>
      <c r="E307" s="34" t="s">
        <v>506</v>
      </c>
      <c r="F307" s="32" t="s">
        <v>304</v>
      </c>
      <c r="G307" s="32" t="s">
        <v>8</v>
      </c>
      <c r="H307" s="40">
        <v>3.99</v>
      </c>
      <c r="I307" s="32"/>
      <c r="J307" s="35">
        <f>VLOOKUP(B307,'[1]remainderlist'!$B$1:$I$1139,8,FALSE)</f>
        <v>172</v>
      </c>
      <c r="K307" s="33" t="s">
        <v>807</v>
      </c>
      <c r="L307" s="32">
        <v>50</v>
      </c>
      <c r="M307" s="32" t="str">
        <f>"9781452142821"</f>
        <v>9781452142821</v>
      </c>
      <c r="N307" s="36">
        <v>17.99</v>
      </c>
      <c r="O307" s="34" t="s">
        <v>611</v>
      </c>
      <c r="P307" s="19"/>
    </row>
    <row r="308" spans="1:16" ht="29.5" customHeight="1">
      <c r="A308" s="32"/>
      <c r="B308" s="56" t="str">
        <f>"0201402215034"</f>
        <v>0201402215034</v>
      </c>
      <c r="C308" s="33" t="s">
        <v>511</v>
      </c>
      <c r="D308" s="34" t="s">
        <v>514</v>
      </c>
      <c r="E308" s="34" t="s">
        <v>506</v>
      </c>
      <c r="F308" s="32" t="s">
        <v>183</v>
      </c>
      <c r="G308" s="32" t="s">
        <v>26</v>
      </c>
      <c r="H308" s="40">
        <v>0.99</v>
      </c>
      <c r="I308" s="32"/>
      <c r="J308" s="35">
        <f>VLOOKUP(B308,'[1]remainderlist'!$B$1:$I$1139,8,FALSE)</f>
        <v>150</v>
      </c>
      <c r="K308" s="33" t="s">
        <v>515</v>
      </c>
      <c r="L308" s="32">
        <v>48</v>
      </c>
      <c r="M308" s="32" t="str">
        <f>"9781402215032"</f>
        <v>9781402215032</v>
      </c>
      <c r="N308" s="36">
        <v>10.99</v>
      </c>
      <c r="O308" s="34" t="s">
        <v>516</v>
      </c>
      <c r="P308" s="19"/>
    </row>
    <row r="309" spans="1:16" ht="29.5" customHeight="1">
      <c r="A309" s="32"/>
      <c r="B309" s="55" t="str">
        <f>"0221402238550"</f>
        <v>0221402238550</v>
      </c>
      <c r="C309" s="33" t="s">
        <v>511</v>
      </c>
      <c r="D309" s="34" t="s">
        <v>510</v>
      </c>
      <c r="E309" s="34" t="s">
        <v>506</v>
      </c>
      <c r="F309" s="32" t="s">
        <v>450</v>
      </c>
      <c r="G309" s="32" t="s">
        <v>6</v>
      </c>
      <c r="H309" s="40">
        <v>2.99</v>
      </c>
      <c r="I309" s="32"/>
      <c r="J309" s="35">
        <f>VLOOKUP(B309,'[1]remainderlist'!$B$1:$I$1139,8,FALSE)</f>
        <v>133</v>
      </c>
      <c r="K309" s="33" t="s">
        <v>512</v>
      </c>
      <c r="L309" s="32">
        <v>36</v>
      </c>
      <c r="M309" s="32" t="str">
        <f>"9781402238550"</f>
        <v>9781402238550</v>
      </c>
      <c r="N309" s="36">
        <v>15.5</v>
      </c>
      <c r="O309" s="34" t="s">
        <v>513</v>
      </c>
      <c r="P309" s="19"/>
    </row>
    <row r="310" spans="1:16" ht="29.5" customHeight="1">
      <c r="A310" s="32"/>
      <c r="B310" s="55" t="str">
        <f>"0201452128803"</f>
        <v>0201452128803</v>
      </c>
      <c r="C310" s="33" t="s">
        <v>1377</v>
      </c>
      <c r="D310" s="34" t="s">
        <v>895</v>
      </c>
      <c r="E310" s="34" t="s">
        <v>506</v>
      </c>
      <c r="F310" s="32" t="s">
        <v>256</v>
      </c>
      <c r="G310" s="32" t="s">
        <v>6</v>
      </c>
      <c r="H310" s="40">
        <v>1.99</v>
      </c>
      <c r="I310" s="32"/>
      <c r="J310" s="35">
        <f>VLOOKUP(B310,'[1]remainderlist'!$B$1:$I$1139,8,FALSE)</f>
        <v>147</v>
      </c>
      <c r="K310" s="33" t="s">
        <v>807</v>
      </c>
      <c r="L310" s="32">
        <v>30</v>
      </c>
      <c r="M310" s="32" t="str">
        <f>"9781452128801"</f>
        <v>9781452128801</v>
      </c>
      <c r="N310" s="36">
        <v>10.99</v>
      </c>
      <c r="O310" s="34" t="s">
        <v>896</v>
      </c>
      <c r="P310" s="19"/>
    </row>
    <row r="311" spans="1:16" ht="29.5" customHeight="1">
      <c r="A311" s="32"/>
      <c r="B311" s="55" t="str">
        <f>"0221402243974"</f>
        <v>0221402243974</v>
      </c>
      <c r="C311" s="33" t="s">
        <v>511</v>
      </c>
      <c r="D311" s="34" t="s">
        <v>596</v>
      </c>
      <c r="E311" s="34" t="s">
        <v>597</v>
      </c>
      <c r="F311" s="32" t="s">
        <v>459</v>
      </c>
      <c r="G311" s="32" t="s">
        <v>6</v>
      </c>
      <c r="H311" s="40">
        <v>1.99</v>
      </c>
      <c r="I311" s="32"/>
      <c r="J311" s="35">
        <f>VLOOKUP(B311,'[1]remainderlist'!$B$1:$I$1139,8,FALSE)</f>
        <v>73</v>
      </c>
      <c r="K311" s="33" t="s">
        <v>543</v>
      </c>
      <c r="L311" s="32">
        <v>18</v>
      </c>
      <c r="M311" s="32" t="str">
        <f>"9781402243974"</f>
        <v>9781402243974</v>
      </c>
      <c r="N311" s="36">
        <v>12.99</v>
      </c>
      <c r="O311" s="34" t="s">
        <v>569</v>
      </c>
      <c r="P311" s="19"/>
    </row>
    <row r="312" spans="1:16" ht="29.5" customHeight="1">
      <c r="A312" s="32"/>
      <c r="B312" s="55" t="str">
        <f>"0201452140096"</f>
        <v>0201452140096</v>
      </c>
      <c r="C312" s="33" t="s">
        <v>1377</v>
      </c>
      <c r="D312" s="34" t="s">
        <v>1009</v>
      </c>
      <c r="E312" s="34" t="s">
        <v>506</v>
      </c>
      <c r="F312" s="32" t="s">
        <v>297</v>
      </c>
      <c r="G312" s="32" t="s">
        <v>8</v>
      </c>
      <c r="H312" s="40">
        <v>4.99</v>
      </c>
      <c r="I312" s="32"/>
      <c r="J312" s="35">
        <f>VLOOKUP(B312,'[1]remainderlist'!$B$1:$I$1139,8,FALSE)</f>
        <v>462</v>
      </c>
      <c r="K312" s="33" t="s">
        <v>905</v>
      </c>
      <c r="L312" s="32">
        <v>32</v>
      </c>
      <c r="M312" s="32" t="str">
        <f>"9781452140094"</f>
        <v>9781452140094</v>
      </c>
      <c r="N312" s="36">
        <v>23.99</v>
      </c>
      <c r="O312" s="34" t="s">
        <v>1010</v>
      </c>
      <c r="P312" s="19"/>
    </row>
    <row r="313" spans="1:16" ht="29.5" customHeight="1">
      <c r="A313" s="32"/>
      <c r="B313" s="55" t="str">
        <f>"0201452127042"</f>
        <v>0201452127042</v>
      </c>
      <c r="C313" s="33" t="s">
        <v>1377</v>
      </c>
      <c r="D313" s="34" t="s">
        <v>694</v>
      </c>
      <c r="E313" s="34" t="s">
        <v>695</v>
      </c>
      <c r="F313" s="32" t="s">
        <v>263</v>
      </c>
      <c r="G313" s="32" t="s">
        <v>6</v>
      </c>
      <c r="H313" s="40">
        <v>1.99</v>
      </c>
      <c r="I313" s="32"/>
      <c r="J313" s="35">
        <f>VLOOKUP(B313,'[1]remainderlist'!$B$1:$I$1139,8,FALSE)</f>
        <v>340</v>
      </c>
      <c r="K313" s="33" t="s">
        <v>647</v>
      </c>
      <c r="L313" s="32">
        <v>40</v>
      </c>
      <c r="M313" s="32" t="str">
        <f>"9781452127040"</f>
        <v>9781452127040</v>
      </c>
      <c r="N313" s="36">
        <v>9.99</v>
      </c>
      <c r="O313" s="34" t="s">
        <v>696</v>
      </c>
      <c r="P313" s="19"/>
    </row>
    <row r="314" spans="1:16" s="10" customFormat="1" ht="15">
      <c r="A314" s="43"/>
      <c r="B314" s="52" t="s">
        <v>1374</v>
      </c>
      <c r="C314" s="6"/>
      <c r="D314" s="6"/>
      <c r="E314" s="6"/>
      <c r="F314" s="7"/>
      <c r="G314" s="7"/>
      <c r="H314" s="44"/>
      <c r="I314" s="8"/>
      <c r="J314" s="7"/>
      <c r="K314" s="6"/>
      <c r="L314" s="7"/>
      <c r="M314" s="9"/>
      <c r="N314" s="25"/>
      <c r="O314" s="25"/>
      <c r="P314" s="30"/>
    </row>
    <row r="315" spans="1:16" ht="29.5" customHeight="1">
      <c r="A315" s="32"/>
      <c r="B315" s="55" t="str">
        <f>"0201743219142"</f>
        <v>0201743219142</v>
      </c>
      <c r="C315" s="33" t="s">
        <v>1342</v>
      </c>
      <c r="D315" s="34" t="s">
        <v>944</v>
      </c>
      <c r="E315" s="34" t="s">
        <v>941</v>
      </c>
      <c r="F315" s="32" t="s">
        <v>355</v>
      </c>
      <c r="G315" s="32" t="s">
        <v>6</v>
      </c>
      <c r="H315" s="40">
        <v>3.99</v>
      </c>
      <c r="I315" s="32"/>
      <c r="J315" s="35">
        <f>VLOOKUP(B315,'[1]remainderlist'!$B$1:$I$1139,8,FALSE)</f>
        <v>200</v>
      </c>
      <c r="K315" s="33" t="s">
        <v>647</v>
      </c>
      <c r="L315" s="32">
        <v>36</v>
      </c>
      <c r="M315" s="32" t="str">
        <f>"9781743219140"</f>
        <v>9781743219140</v>
      </c>
      <c r="N315" s="36">
        <v>17.99</v>
      </c>
      <c r="O315" s="34" t="s">
        <v>569</v>
      </c>
      <c r="P315" s="19"/>
    </row>
    <row r="316" spans="1:16" ht="29.5" customHeight="1">
      <c r="A316" s="32"/>
      <c r="B316" s="55" t="str">
        <f>"0201743219166"</f>
        <v>0201743219166</v>
      </c>
      <c r="C316" s="33" t="s">
        <v>1342</v>
      </c>
      <c r="D316" s="34" t="s">
        <v>953</v>
      </c>
      <c r="E316" s="34" t="s">
        <v>941</v>
      </c>
      <c r="F316" s="32"/>
      <c r="G316" s="32" t="s">
        <v>6</v>
      </c>
      <c r="H316" s="40">
        <v>3.99</v>
      </c>
      <c r="I316" s="32"/>
      <c r="J316" s="35">
        <f>VLOOKUP(B316,'[1]remainderlist'!$B$1:$I$1139,8,FALSE)</f>
        <v>127</v>
      </c>
      <c r="K316" s="33" t="s">
        <v>647</v>
      </c>
      <c r="L316" s="32">
        <v>36</v>
      </c>
      <c r="M316" s="32" t="str">
        <f>"9781743219164"</f>
        <v>9781743219164</v>
      </c>
      <c r="N316" s="36">
        <v>17.99</v>
      </c>
      <c r="O316" s="34" t="s">
        <v>569</v>
      </c>
      <c r="P316" s="19"/>
    </row>
    <row r="317" spans="1:16" ht="29.5" customHeight="1">
      <c r="A317" s="32"/>
      <c r="B317" s="55" t="str">
        <f>"0201616894803"</f>
        <v>0201616894803</v>
      </c>
      <c r="C317" s="33" t="s">
        <v>1380</v>
      </c>
      <c r="D317" s="34" t="s">
        <v>1304</v>
      </c>
      <c r="E317" s="34" t="s">
        <v>506</v>
      </c>
      <c r="F317" s="32" t="s">
        <v>339</v>
      </c>
      <c r="G317" s="32" t="s">
        <v>8</v>
      </c>
      <c r="H317" s="40">
        <v>5.49</v>
      </c>
      <c r="I317" s="37" t="s">
        <v>501</v>
      </c>
      <c r="J317" s="35">
        <f>VLOOKUP(B317,'[1]remainderlist'!$B$1:$I$1139,8,FALSE)</f>
        <v>20</v>
      </c>
      <c r="K317" s="33" t="s">
        <v>905</v>
      </c>
      <c r="L317" s="32">
        <v>30</v>
      </c>
      <c r="M317" s="32" t="str">
        <f>"9781616894801"</f>
        <v>9781616894801</v>
      </c>
      <c r="N317" s="36">
        <v>21.95</v>
      </c>
      <c r="O317" s="34" t="s">
        <v>1305</v>
      </c>
      <c r="P317" s="19"/>
    </row>
    <row r="318" spans="1:16" ht="29.5" customHeight="1">
      <c r="A318" s="32"/>
      <c r="B318" s="55" t="str">
        <f>"0201743219104"</f>
        <v>0201743219104</v>
      </c>
      <c r="C318" s="33" t="s">
        <v>1342</v>
      </c>
      <c r="D318" s="34" t="s">
        <v>956</v>
      </c>
      <c r="E318" s="34" t="s">
        <v>941</v>
      </c>
      <c r="F318" s="32" t="s">
        <v>354</v>
      </c>
      <c r="G318" s="32" t="s">
        <v>6</v>
      </c>
      <c r="H318" s="40">
        <v>3.99</v>
      </c>
      <c r="I318" s="32"/>
      <c r="J318" s="35">
        <f>VLOOKUP(B318,'[1]remainderlist'!$B$1:$I$1139,8,FALSE)</f>
        <v>431</v>
      </c>
      <c r="K318" s="33" t="s">
        <v>647</v>
      </c>
      <c r="L318" s="32">
        <v>36</v>
      </c>
      <c r="M318" s="32" t="str">
        <f>"9781743219102"</f>
        <v>9781743219102</v>
      </c>
      <c r="N318" s="36">
        <v>17.99</v>
      </c>
      <c r="O318" s="34" t="s">
        <v>569</v>
      </c>
      <c r="P318" s="19"/>
    </row>
    <row r="319" spans="1:16" ht="29.5" customHeight="1">
      <c r="A319" s="32"/>
      <c r="B319" s="55" t="str">
        <f>"0201452125888"</f>
        <v>0201452125888</v>
      </c>
      <c r="C319" s="33" t="s">
        <v>1377</v>
      </c>
      <c r="D319" s="34" t="s">
        <v>893</v>
      </c>
      <c r="E319" s="34" t="s">
        <v>506</v>
      </c>
      <c r="F319" s="32" t="s">
        <v>261</v>
      </c>
      <c r="G319" s="32" t="s">
        <v>8</v>
      </c>
      <c r="H319" s="40">
        <v>4.99</v>
      </c>
      <c r="I319" s="32"/>
      <c r="J319" s="35">
        <f>VLOOKUP(B319,'[1]remainderlist'!$B$1:$I$1139,8,FALSE)</f>
        <v>90</v>
      </c>
      <c r="K319" s="33" t="s">
        <v>509</v>
      </c>
      <c r="L319" s="32">
        <v>26</v>
      </c>
      <c r="M319" s="32" t="str">
        <f>"9781452125886"</f>
        <v>9781452125886</v>
      </c>
      <c r="N319" s="36">
        <v>24.99</v>
      </c>
      <c r="O319" s="34" t="s">
        <v>894</v>
      </c>
      <c r="P319" s="19"/>
    </row>
    <row r="320" spans="1:16" ht="29.5" customHeight="1">
      <c r="A320" s="32"/>
      <c r="B320" s="55" t="str">
        <f>"0201452141253"</f>
        <v>0201452141253</v>
      </c>
      <c r="C320" s="33" t="s">
        <v>1377</v>
      </c>
      <c r="D320" s="34" t="s">
        <v>1000</v>
      </c>
      <c r="E320" s="34" t="s">
        <v>1001</v>
      </c>
      <c r="F320" s="32" t="s">
        <v>298</v>
      </c>
      <c r="G320" s="32" t="s">
        <v>6</v>
      </c>
      <c r="H320" s="40">
        <v>1.99</v>
      </c>
      <c r="I320" s="32"/>
      <c r="J320" s="35">
        <f>VLOOKUP(B320,'[1]remainderlist'!$B$1:$I$1139,8,FALSE)</f>
        <v>110</v>
      </c>
      <c r="K320" s="33" t="s">
        <v>807</v>
      </c>
      <c r="L320" s="32">
        <v>60</v>
      </c>
      <c r="M320" s="32" t="str">
        <f>"9781452141251"</f>
        <v>9781452141251</v>
      </c>
      <c r="N320" s="36">
        <v>10.99</v>
      </c>
      <c r="O320" s="34" t="s">
        <v>999</v>
      </c>
      <c r="P320" s="19"/>
    </row>
    <row r="321" spans="1:16" ht="29.5" customHeight="1">
      <c r="A321" s="32"/>
      <c r="B321" s="55" t="str">
        <f>"0201452116671"</f>
        <v>0201452116671</v>
      </c>
      <c r="C321" s="33" t="s">
        <v>1377</v>
      </c>
      <c r="D321" s="34" t="s">
        <v>709</v>
      </c>
      <c r="E321" s="34" t="s">
        <v>506</v>
      </c>
      <c r="F321" s="32" t="s">
        <v>15</v>
      </c>
      <c r="G321" s="32" t="s">
        <v>8</v>
      </c>
      <c r="H321" s="40">
        <v>1.99</v>
      </c>
      <c r="I321" s="32"/>
      <c r="J321" s="35">
        <f>VLOOKUP(B321,'[1]remainderlist'!$B$1:$I$1139,8,FALSE)</f>
        <v>154</v>
      </c>
      <c r="K321" s="33" t="s">
        <v>643</v>
      </c>
      <c r="L321" s="32">
        <v>60</v>
      </c>
      <c r="M321" s="32" t="str">
        <f>"9781452116679"</f>
        <v>9781452116679</v>
      </c>
      <c r="N321" s="36">
        <v>10.99</v>
      </c>
      <c r="O321" s="34" t="s">
        <v>710</v>
      </c>
      <c r="P321" s="19"/>
    </row>
    <row r="322" spans="1:16" s="10" customFormat="1" ht="15">
      <c r="A322" s="43"/>
      <c r="B322" s="52" t="s">
        <v>1375</v>
      </c>
      <c r="C322" s="6"/>
      <c r="D322" s="6"/>
      <c r="E322" s="6"/>
      <c r="F322" s="7"/>
      <c r="G322" s="7"/>
      <c r="H322" s="44"/>
      <c r="I322" s="8"/>
      <c r="J322" s="7"/>
      <c r="K322" s="6"/>
      <c r="L322" s="7"/>
      <c r="M322" s="9"/>
      <c r="N322" s="25"/>
      <c r="O322" s="25"/>
      <c r="P322" s="30"/>
    </row>
    <row r="323" spans="1:16" ht="29.5" customHeight="1">
      <c r="A323" s="32"/>
      <c r="B323" s="55" t="str">
        <f>"0201452151306"</f>
        <v>0201452151306</v>
      </c>
      <c r="C323" s="33" t="s">
        <v>1377</v>
      </c>
      <c r="D323" s="34" t="s">
        <v>1189</v>
      </c>
      <c r="E323" s="34" t="s">
        <v>506</v>
      </c>
      <c r="F323" s="32" t="s">
        <v>318</v>
      </c>
      <c r="G323" s="32" t="s">
        <v>234</v>
      </c>
      <c r="H323" s="40">
        <v>6.99</v>
      </c>
      <c r="I323" s="32"/>
      <c r="J323" s="35">
        <f>VLOOKUP(B323,'[1]remainderlist'!$B$1:$I$1139,8,FALSE)</f>
        <v>144</v>
      </c>
      <c r="K323" s="33" t="s">
        <v>905</v>
      </c>
      <c r="L323" s="32">
        <v>12</v>
      </c>
      <c r="M323" s="32" t="str">
        <f>"9781452151304"</f>
        <v>9781452151304</v>
      </c>
      <c r="N323" s="36">
        <v>36.99</v>
      </c>
      <c r="O323" s="34" t="s">
        <v>1008</v>
      </c>
      <c r="P323" s="19"/>
    </row>
    <row r="324" spans="1:16" ht="29.5" customHeight="1">
      <c r="A324" s="32"/>
      <c r="B324" s="55" t="str">
        <f>"0221452101439"</f>
        <v>0221452101439</v>
      </c>
      <c r="C324" s="33" t="s">
        <v>1377</v>
      </c>
      <c r="D324" s="34" t="s">
        <v>633</v>
      </c>
      <c r="E324" s="34" t="s">
        <v>506</v>
      </c>
      <c r="F324" s="32" t="s">
        <v>487</v>
      </c>
      <c r="G324" s="32" t="s">
        <v>20</v>
      </c>
      <c r="H324" s="40">
        <v>1.99</v>
      </c>
      <c r="I324" s="32"/>
      <c r="J324" s="35">
        <f>VLOOKUP(B324,'[1]remainderlist'!$B$1:$I$1139,8,FALSE)</f>
        <v>209</v>
      </c>
      <c r="K324" s="33" t="s">
        <v>521</v>
      </c>
      <c r="L324" s="32">
        <v>48</v>
      </c>
      <c r="M324" s="32" t="str">
        <f>"9781452101439"</f>
        <v>9781452101439</v>
      </c>
      <c r="N324" s="36">
        <v>12.99</v>
      </c>
      <c r="O324" s="34" t="s">
        <v>635</v>
      </c>
      <c r="P324" s="19"/>
    </row>
    <row r="325" spans="1:16" ht="29.5" customHeight="1">
      <c r="A325" s="32"/>
      <c r="B325" s="55" t="str">
        <f>"0221402268212"</f>
        <v>0221402268212</v>
      </c>
      <c r="C325" s="33" t="s">
        <v>511</v>
      </c>
      <c r="D325" s="34" t="s">
        <v>535</v>
      </c>
      <c r="E325" s="34" t="s">
        <v>506</v>
      </c>
      <c r="F325" s="32"/>
      <c r="G325" s="32" t="s">
        <v>23</v>
      </c>
      <c r="H325" s="40">
        <v>0.99</v>
      </c>
      <c r="I325" s="32"/>
      <c r="J325" s="35">
        <f>VLOOKUP(B325,'[1]remainderlist'!$B$1:$I$1139,8,FALSE)</f>
        <v>1094</v>
      </c>
      <c r="K325" s="33" t="s">
        <v>526</v>
      </c>
      <c r="L325" s="32">
        <v>385</v>
      </c>
      <c r="M325" s="32" t="str">
        <f>"9781402268212"</f>
        <v>9781402268212</v>
      </c>
      <c r="N325" s="36">
        <v>8.5</v>
      </c>
      <c r="O325" s="34" t="s">
        <v>536</v>
      </c>
      <c r="P325" s="19"/>
    </row>
    <row r="326" spans="1:16" ht="28.5" customHeight="1">
      <c r="A326" s="32"/>
      <c r="B326" s="55" t="str">
        <f>"0201452143127"</f>
        <v>0201452143127</v>
      </c>
      <c r="C326" s="33" t="s">
        <v>1377</v>
      </c>
      <c r="D326" s="34" t="s">
        <v>977</v>
      </c>
      <c r="E326" s="34" t="s">
        <v>978</v>
      </c>
      <c r="F326" s="32" t="s">
        <v>306</v>
      </c>
      <c r="G326" s="32" t="s">
        <v>234</v>
      </c>
      <c r="H326" s="40">
        <v>4.99</v>
      </c>
      <c r="I326" s="32"/>
      <c r="J326" s="35">
        <f>VLOOKUP(B326,'[1]remainderlist'!$B$1:$I$1139,8,FALSE)</f>
        <v>75</v>
      </c>
      <c r="K326" s="33" t="s">
        <v>905</v>
      </c>
      <c r="L326" s="32">
        <v>40</v>
      </c>
      <c r="M326" s="32" t="str">
        <f>"9781452143125"</f>
        <v>9781452143125</v>
      </c>
      <c r="N326" s="36">
        <v>22.5</v>
      </c>
      <c r="O326" s="34" t="s">
        <v>611</v>
      </c>
      <c r="P326" s="19"/>
    </row>
    <row r="327" spans="1:16" ht="29.5" customHeight="1">
      <c r="A327" s="32"/>
      <c r="B327" s="55" t="str">
        <f>"0201452130837"</f>
        <v>0201452130837</v>
      </c>
      <c r="C327" s="33" t="s">
        <v>1377</v>
      </c>
      <c r="D327" s="34" t="s">
        <v>1007</v>
      </c>
      <c r="E327" s="34" t="s">
        <v>506</v>
      </c>
      <c r="F327" s="32" t="s">
        <v>273</v>
      </c>
      <c r="G327" s="32" t="s">
        <v>272</v>
      </c>
      <c r="H327" s="40">
        <v>3.99</v>
      </c>
      <c r="I327" s="32"/>
      <c r="J327" s="35">
        <f>VLOOKUP(B327,'[1]remainderlist'!$B$1:$I$1139,8,FALSE)</f>
        <v>411</v>
      </c>
      <c r="K327" s="33" t="s">
        <v>868</v>
      </c>
      <c r="L327" s="32">
        <v>14</v>
      </c>
      <c r="M327" s="32" t="str">
        <f>"9781452130835"</f>
        <v>9781452130835</v>
      </c>
      <c r="N327" s="36">
        <v>21.99</v>
      </c>
      <c r="O327" s="34" t="s">
        <v>1008</v>
      </c>
      <c r="P327" s="19"/>
    </row>
    <row r="328" spans="1:16" s="10" customFormat="1" ht="15">
      <c r="A328" s="43"/>
      <c r="B328" s="52" t="s">
        <v>1376</v>
      </c>
      <c r="C328" s="6"/>
      <c r="D328" s="6"/>
      <c r="E328" s="6"/>
      <c r="F328" s="7"/>
      <c r="G328" s="7"/>
      <c r="H328" s="44"/>
      <c r="I328" s="8"/>
      <c r="J328" s="7"/>
      <c r="K328" s="6"/>
      <c r="L328" s="7"/>
      <c r="M328" s="9"/>
      <c r="N328" s="25"/>
      <c r="O328" s="25"/>
      <c r="P328" s="30"/>
    </row>
    <row r="329" spans="1:16" ht="29.5" customHeight="1">
      <c r="A329" s="32"/>
      <c r="B329" s="55" t="str">
        <f>"0221402244650"</f>
        <v>0221402244650</v>
      </c>
      <c r="C329" s="33" t="s">
        <v>511</v>
      </c>
      <c r="D329" s="34" t="s">
        <v>542</v>
      </c>
      <c r="E329" s="34" t="s">
        <v>506</v>
      </c>
      <c r="F329" s="32" t="s">
        <v>460</v>
      </c>
      <c r="G329" s="32" t="s">
        <v>6</v>
      </c>
      <c r="H329" s="40">
        <v>1.99</v>
      </c>
      <c r="I329" s="32"/>
      <c r="J329" s="35">
        <f>VLOOKUP(B329,'[1]remainderlist'!$B$1:$I$1139,8,FALSE)</f>
        <v>253</v>
      </c>
      <c r="K329" s="33" t="s">
        <v>543</v>
      </c>
      <c r="L329" s="32">
        <v>48</v>
      </c>
      <c r="M329" s="32" t="str">
        <f>"9781402244650"</f>
        <v>9781402244650</v>
      </c>
      <c r="N329" s="36">
        <v>13.99</v>
      </c>
      <c r="O329" s="34" t="s">
        <v>544</v>
      </c>
      <c r="P329" s="19"/>
    </row>
    <row r="330" spans="1:16" ht="29.5" customHeight="1">
      <c r="A330" s="32"/>
      <c r="B330" s="55" t="str">
        <f>"0221402237843"</f>
        <v>0221402237843</v>
      </c>
      <c r="C330" s="33" t="s">
        <v>511</v>
      </c>
      <c r="D330" s="34" t="s">
        <v>550</v>
      </c>
      <c r="E330" s="34" t="s">
        <v>506</v>
      </c>
      <c r="F330" s="32" t="s">
        <v>447</v>
      </c>
      <c r="G330" s="32" t="s">
        <v>6</v>
      </c>
      <c r="H330" s="40">
        <v>1.99</v>
      </c>
      <c r="I330" s="32"/>
      <c r="J330" s="35">
        <f>VLOOKUP(B330,'[1]remainderlist'!$B$1:$I$1139,8,FALSE)</f>
        <v>312</v>
      </c>
      <c r="K330" s="33" t="s">
        <v>515</v>
      </c>
      <c r="L330" s="32">
        <v>44</v>
      </c>
      <c r="M330" s="32" t="str">
        <f>"9781402237843"</f>
        <v>9781402237843</v>
      </c>
      <c r="N330" s="36">
        <v>10.99</v>
      </c>
      <c r="O330" s="34" t="s">
        <v>551</v>
      </c>
      <c r="P330" s="19"/>
    </row>
    <row r="331" spans="1:16" ht="29.5" customHeight="1">
      <c r="A331" s="32"/>
      <c r="B331" s="55" t="str">
        <f>"0201452128735"</f>
        <v>0201452128735</v>
      </c>
      <c r="C331" s="33" t="s">
        <v>1377</v>
      </c>
      <c r="D331" s="34" t="s">
        <v>692</v>
      </c>
      <c r="E331" s="34" t="s">
        <v>693</v>
      </c>
      <c r="F331" s="32" t="s">
        <v>233</v>
      </c>
      <c r="G331" s="32" t="s">
        <v>6</v>
      </c>
      <c r="H331" s="40">
        <v>3.5</v>
      </c>
      <c r="I331" s="32"/>
      <c r="J331" s="35">
        <f>VLOOKUP(B331,'[1]remainderlist'!$B$1:$I$1139,8,FALSE)</f>
        <v>84</v>
      </c>
      <c r="K331" s="33" t="s">
        <v>509</v>
      </c>
      <c r="L331" s="32">
        <v>28</v>
      </c>
      <c r="M331" s="32" t="str">
        <f>"9781452128733"</f>
        <v>9781452128733</v>
      </c>
      <c r="N331" s="36">
        <v>16.99</v>
      </c>
      <c r="O331" s="34" t="s">
        <v>680</v>
      </c>
      <c r="P331" s="19"/>
    </row>
    <row r="332" spans="1:16" ht="29.5" customHeight="1">
      <c r="A332" s="32"/>
      <c r="B332" s="55" t="str">
        <f>"0201452110709"</f>
        <v>0201452110709</v>
      </c>
      <c r="C332" s="33" t="s">
        <v>1377</v>
      </c>
      <c r="D332" s="34" t="s">
        <v>692</v>
      </c>
      <c r="E332" s="34" t="s">
        <v>693</v>
      </c>
      <c r="F332" s="32" t="s">
        <v>233</v>
      </c>
      <c r="G332" s="32" t="s">
        <v>8</v>
      </c>
      <c r="H332" s="40">
        <v>4.99</v>
      </c>
      <c r="I332" s="32"/>
      <c r="J332" s="35">
        <f>VLOOKUP(B332,'[1]remainderlist'!$B$1:$I$1139,8,FALSE)</f>
        <v>137</v>
      </c>
      <c r="K332" s="33" t="s">
        <v>647</v>
      </c>
      <c r="L332" s="32">
        <v>24</v>
      </c>
      <c r="M332" s="32" t="str">
        <f>"9781452110707"</f>
        <v>9781452110707</v>
      </c>
      <c r="N332" s="36">
        <v>23.99</v>
      </c>
      <c r="O332" s="34" t="s">
        <v>680</v>
      </c>
      <c r="P332" s="19"/>
    </row>
    <row r="333" spans="1:15" ht="29.5" customHeight="1">
      <c r="A333" s="32"/>
      <c r="B333" s="55" t="str">
        <f>"0221402260520"</f>
        <v>0221402260520</v>
      </c>
      <c r="C333" s="33" t="s">
        <v>511</v>
      </c>
      <c r="D333" s="34" t="s">
        <v>554</v>
      </c>
      <c r="E333" s="34" t="s">
        <v>555</v>
      </c>
      <c r="F333" s="32" t="s">
        <v>473</v>
      </c>
      <c r="G333" s="32" t="s">
        <v>26</v>
      </c>
      <c r="H333" s="40">
        <v>1.99</v>
      </c>
      <c r="I333" s="32"/>
      <c r="J333" s="35">
        <f>VLOOKUP(B333,'[1]remainderlist'!$B$1:$I$1139,8,FALSE)</f>
        <v>331</v>
      </c>
      <c r="K333" s="33" t="s">
        <v>521</v>
      </c>
      <c r="L333" s="32">
        <v>32</v>
      </c>
      <c r="M333" s="32" t="str">
        <f>"9781402260520"</f>
        <v>9781402260520</v>
      </c>
      <c r="N333" s="36">
        <v>12.99</v>
      </c>
      <c r="O333" s="34" t="s">
        <v>556</v>
      </c>
    </row>
    <row r="334" spans="1:15" ht="29.5" customHeight="1">
      <c r="A334" s="32"/>
      <c r="B334" s="55" t="str">
        <f>"0201452152136"</f>
        <v>0201452152136</v>
      </c>
      <c r="C334" s="33" t="s">
        <v>1377</v>
      </c>
      <c r="D334" s="34" t="s">
        <v>1184</v>
      </c>
      <c r="E334" s="34" t="s">
        <v>506</v>
      </c>
      <c r="F334" s="32" t="s">
        <v>257</v>
      </c>
      <c r="G334" s="32" t="s">
        <v>6</v>
      </c>
      <c r="H334" s="40">
        <v>2.99</v>
      </c>
      <c r="I334" s="32"/>
      <c r="J334" s="35">
        <f>VLOOKUP(B334,'[1]remainderlist'!$B$1:$I$1139,8,FALSE)</f>
        <v>120</v>
      </c>
      <c r="K334" s="33" t="s">
        <v>905</v>
      </c>
      <c r="L334" s="32">
        <v>40</v>
      </c>
      <c r="M334" s="32" t="str">
        <f>"9781452152134"</f>
        <v>9781452152134</v>
      </c>
      <c r="N334" s="36">
        <v>13.99</v>
      </c>
      <c r="O334" s="34" t="s">
        <v>714</v>
      </c>
    </row>
    <row r="335" spans="1:15" ht="29.5" customHeight="1">
      <c r="A335" s="32"/>
      <c r="B335" s="55" t="str">
        <f>"0201452142847"</f>
        <v>0201452142847</v>
      </c>
      <c r="C335" s="33" t="s">
        <v>1377</v>
      </c>
      <c r="D335" s="34" t="s">
        <v>1005</v>
      </c>
      <c r="E335" s="34" t="s">
        <v>506</v>
      </c>
      <c r="F335" s="32" t="s">
        <v>257</v>
      </c>
      <c r="G335" s="32" t="s">
        <v>8</v>
      </c>
      <c r="H335" s="40">
        <v>4.99</v>
      </c>
      <c r="I335" s="32"/>
      <c r="J335" s="35">
        <f>VLOOKUP(B335,'[1]remainderlist'!$B$1:$I$1139,8,FALSE)</f>
        <v>197</v>
      </c>
      <c r="K335" s="33" t="s">
        <v>905</v>
      </c>
      <c r="L335" s="32">
        <v>28</v>
      </c>
      <c r="M335" s="32" t="str">
        <f>"9781452142845"</f>
        <v>9781452142845</v>
      </c>
      <c r="N335" s="36">
        <v>24.99</v>
      </c>
      <c r="O335" s="34" t="s">
        <v>714</v>
      </c>
    </row>
    <row r="336" spans="1:15" ht="29.5" customHeight="1">
      <c r="A336" s="32"/>
      <c r="B336" s="55" t="str">
        <f>"0201452124577"</f>
        <v>0201452124577</v>
      </c>
      <c r="C336" s="33" t="s">
        <v>1377</v>
      </c>
      <c r="D336" s="34" t="s">
        <v>713</v>
      </c>
      <c r="E336" s="34" t="s">
        <v>506</v>
      </c>
      <c r="F336" s="32" t="s">
        <v>257</v>
      </c>
      <c r="G336" s="32" t="s">
        <v>8</v>
      </c>
      <c r="H336" s="40">
        <v>4.99</v>
      </c>
      <c r="I336" s="32"/>
      <c r="J336" s="35">
        <f>VLOOKUP(B336,'[1]remainderlist'!$B$1:$I$1139,8,FALSE)</f>
        <v>219</v>
      </c>
      <c r="K336" s="33" t="s">
        <v>643</v>
      </c>
      <c r="L336" s="32">
        <v>32</v>
      </c>
      <c r="M336" s="32" t="str">
        <f>"9781452124575"</f>
        <v>9781452124575</v>
      </c>
      <c r="N336" s="36">
        <v>24.99</v>
      </c>
      <c r="O336" s="34" t="s">
        <v>714</v>
      </c>
    </row>
    <row r="337" spans="1:15" ht="29.5" customHeight="1">
      <c r="A337" s="32"/>
      <c r="B337" s="55" t="str">
        <f>"0201452133586"</f>
        <v>0201452133586</v>
      </c>
      <c r="C337" s="33" t="s">
        <v>1377</v>
      </c>
      <c r="D337" s="34" t="s">
        <v>1187</v>
      </c>
      <c r="E337" s="34" t="s">
        <v>1188</v>
      </c>
      <c r="F337" s="32" t="s">
        <v>237</v>
      </c>
      <c r="G337" s="32" t="s">
        <v>8</v>
      </c>
      <c r="H337" s="40">
        <v>4.99</v>
      </c>
      <c r="I337" s="32"/>
      <c r="J337" s="35">
        <f>VLOOKUP(B337,'[1]remainderlist'!$B$1:$I$1139,8,FALSE)</f>
        <v>140</v>
      </c>
      <c r="K337" s="33" t="s">
        <v>986</v>
      </c>
      <c r="L337" s="32">
        <v>28</v>
      </c>
      <c r="M337" s="32" t="str">
        <f>"9781452133584"</f>
        <v>9781452133584</v>
      </c>
      <c r="N337" s="36">
        <v>23.99</v>
      </c>
      <c r="O337" s="34" t="s">
        <v>680</v>
      </c>
    </row>
    <row r="338" spans="1:15" ht="29.5" customHeight="1">
      <c r="A338" s="32"/>
      <c r="B338" s="55" t="str">
        <f>"0201452111744"</f>
        <v>0201452111744</v>
      </c>
      <c r="C338" s="33" t="s">
        <v>1377</v>
      </c>
      <c r="D338" s="34" t="s">
        <v>679</v>
      </c>
      <c r="E338" s="34" t="s">
        <v>506</v>
      </c>
      <c r="F338" s="32" t="s">
        <v>237</v>
      </c>
      <c r="G338" s="32" t="s">
        <v>8</v>
      </c>
      <c r="H338" s="40">
        <v>4.99</v>
      </c>
      <c r="I338" s="32"/>
      <c r="J338" s="35">
        <f>VLOOKUP(B338,'[1]remainderlist'!$B$1:$I$1139,8,FALSE)</f>
        <v>616</v>
      </c>
      <c r="K338" s="33" t="s">
        <v>643</v>
      </c>
      <c r="L338" s="32">
        <v>28</v>
      </c>
      <c r="M338" s="32" t="str">
        <f>"9781452111742"</f>
        <v>9781452111742</v>
      </c>
      <c r="N338" s="36">
        <v>23.99</v>
      </c>
      <c r="O338" s="34" t="s">
        <v>680</v>
      </c>
    </row>
    <row r="339" spans="1:15" ht="29.5" customHeight="1">
      <c r="A339" s="32"/>
      <c r="B339" s="55" t="str">
        <f>"0201452138390"</f>
        <v>0201452138390</v>
      </c>
      <c r="C339" s="33" t="s">
        <v>1377</v>
      </c>
      <c r="D339" s="34" t="s">
        <v>1006</v>
      </c>
      <c r="E339" s="34" t="s">
        <v>506</v>
      </c>
      <c r="F339" s="32" t="s">
        <v>287</v>
      </c>
      <c r="G339" s="32" t="s">
        <v>8</v>
      </c>
      <c r="H339" s="40">
        <v>4.99</v>
      </c>
      <c r="I339" s="32"/>
      <c r="J339" s="35">
        <f>VLOOKUP(B339,'[1]remainderlist'!$B$1:$I$1139,8,FALSE)</f>
        <v>224</v>
      </c>
      <c r="K339" s="33" t="s">
        <v>905</v>
      </c>
      <c r="L339" s="32">
        <v>28</v>
      </c>
      <c r="M339" s="32" t="str">
        <f>"9781452138398"</f>
        <v>9781452138398</v>
      </c>
      <c r="N339" s="36">
        <v>25.99</v>
      </c>
      <c r="O339" s="34" t="s">
        <v>714</v>
      </c>
    </row>
    <row r="340" spans="1:15" ht="29.5" customHeight="1">
      <c r="A340" s="32"/>
      <c r="B340" s="55" t="str">
        <f>"0221402268755"</f>
        <v>0221402268755</v>
      </c>
      <c r="C340" s="33" t="s">
        <v>511</v>
      </c>
      <c r="D340" s="34" t="s">
        <v>591</v>
      </c>
      <c r="E340" s="34" t="s">
        <v>592</v>
      </c>
      <c r="F340" s="32" t="s">
        <v>461</v>
      </c>
      <c r="G340" s="32" t="s">
        <v>6</v>
      </c>
      <c r="H340" s="40">
        <v>1.99</v>
      </c>
      <c r="I340" s="32"/>
      <c r="J340" s="35">
        <f>VLOOKUP(B340,'[1]remainderlist'!$B$1:$I$1139,8,FALSE)</f>
        <v>336</v>
      </c>
      <c r="K340" s="33" t="s">
        <v>576</v>
      </c>
      <c r="L340" s="32">
        <v>32</v>
      </c>
      <c r="M340" s="32" t="str">
        <f>"9781402268755"</f>
        <v>9781402268755</v>
      </c>
      <c r="N340" s="36">
        <v>13.99</v>
      </c>
      <c r="O340" s="34" t="s">
        <v>544</v>
      </c>
    </row>
    <row r="341" spans="1:15" ht="29.5" customHeight="1">
      <c r="A341" s="32"/>
      <c r="B341" s="55" t="str">
        <f>"0221402260490"</f>
        <v>0221402260490</v>
      </c>
      <c r="C341" s="33" t="s">
        <v>511</v>
      </c>
      <c r="D341" s="34" t="s">
        <v>520</v>
      </c>
      <c r="E341" s="34" t="s">
        <v>506</v>
      </c>
      <c r="F341" s="32" t="s">
        <v>472</v>
      </c>
      <c r="G341" s="32" t="s">
        <v>26</v>
      </c>
      <c r="H341" s="40">
        <v>1.99</v>
      </c>
      <c r="I341" s="32"/>
      <c r="J341" s="35">
        <f>VLOOKUP(B341,'[1]remainderlist'!$B$1:$I$1139,8,FALSE)</f>
        <v>383</v>
      </c>
      <c r="K341" s="33" t="s">
        <v>521</v>
      </c>
      <c r="L341" s="32">
        <v>32</v>
      </c>
      <c r="M341" s="32" t="str">
        <f>"9781402260490"</f>
        <v>9781402260490</v>
      </c>
      <c r="N341" s="36">
        <v>13.99</v>
      </c>
      <c r="O341" s="34" t="s">
        <v>522</v>
      </c>
    </row>
    <row r="342" spans="1:15" ht="29.5" customHeight="1">
      <c r="A342" s="32"/>
      <c r="B342" s="55" t="str">
        <f>"0221402254611"</f>
        <v>0221402254611</v>
      </c>
      <c r="C342" s="33" t="s">
        <v>511</v>
      </c>
      <c r="D342" s="34" t="s">
        <v>601</v>
      </c>
      <c r="E342" s="34" t="s">
        <v>506</v>
      </c>
      <c r="F342" s="32" t="s">
        <v>466</v>
      </c>
      <c r="G342" s="32" t="s">
        <v>26</v>
      </c>
      <c r="H342" s="40">
        <v>1.99</v>
      </c>
      <c r="I342" s="32"/>
      <c r="J342" s="35">
        <f>VLOOKUP(B342,'[1]remainderlist'!$B$1:$I$1139,8,FALSE)</f>
        <v>89</v>
      </c>
      <c r="K342" s="33" t="s">
        <v>515</v>
      </c>
      <c r="L342" s="32">
        <v>28</v>
      </c>
      <c r="M342" s="32" t="str">
        <f>"9781402254611"</f>
        <v>9781402254611</v>
      </c>
      <c r="N342" s="36">
        <v>12.99</v>
      </c>
      <c r="O342" s="34" t="s">
        <v>556</v>
      </c>
    </row>
    <row r="343" spans="10:12" ht="15">
      <c r="J343" s="22"/>
      <c r="K343" s="19"/>
      <c r="L343" s="23"/>
    </row>
  </sheetData>
  <printOptions gridLines="1" horizontalCentered="1"/>
  <pageMargins left="0.25" right="0.25" top="0.5" bottom="0.5" header="0.25" footer="0.3"/>
  <pageSetup fitToHeight="20" fitToWidth="1" horizontalDpi="600" verticalDpi="600" orientation="landscape" paperSize="5" scale="97" r:id="rId1"/>
  <headerFooter>
    <oddHeader>&amp;CRaincoast Remainder List&amp;R&amp;Pof&amp;N</oddHeader>
    <oddFooter>&amp;L&amp;D&amp;CRemainders are non returnable. They are shipped FOB Raincoast warehouse and billed at 50% of Remainder MSRP. Please order using Remainder ISBN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7C83E-B0EE-4A60-AEDC-5677C9CE6349}">
  <dimension ref="A1:AI15"/>
  <sheetViews>
    <sheetView workbookViewId="0" topLeftCell="A1">
      <selection activeCell="F23" sqref="F23"/>
    </sheetView>
  </sheetViews>
  <sheetFormatPr defaultColWidth="9.140625" defaultRowHeight="15"/>
  <sheetData>
    <row r="1" spans="1:35" ht="15">
      <c r="A1" t="str">
        <f aca="true" t="shared" si="0" ref="A1:A15">"1037"</f>
        <v>1037</v>
      </c>
      <c r="B1" t="str">
        <f>"0201452150194"</f>
        <v>0201452150194</v>
      </c>
      <c r="C1" t="s">
        <v>315</v>
      </c>
      <c r="D1" t="s">
        <v>2</v>
      </c>
      <c r="E1" t="s">
        <v>241</v>
      </c>
      <c r="F1" t="s">
        <v>316</v>
      </c>
      <c r="G1" t="s">
        <v>7</v>
      </c>
      <c r="H1">
        <v>3.99</v>
      </c>
      <c r="I1">
        <v>9</v>
      </c>
      <c r="J1" t="str">
        <f>"9781452150192"</f>
        <v>9781452150192</v>
      </c>
      <c r="K1">
        <v>1011</v>
      </c>
      <c r="L1">
        <v>18.95</v>
      </c>
      <c r="M1">
        <v>0</v>
      </c>
      <c r="N1">
        <v>0</v>
      </c>
      <c r="O1">
        <v>5.7</v>
      </c>
      <c r="P1" s="1">
        <v>42795</v>
      </c>
      <c r="R1" s="3" t="s">
        <v>315</v>
      </c>
      <c r="S1" s="3" t="s">
        <v>965</v>
      </c>
      <c r="T1" s="3" t="s">
        <v>966</v>
      </c>
      <c r="U1" s="3" t="s">
        <v>506</v>
      </c>
      <c r="V1" s="3" t="s">
        <v>506</v>
      </c>
      <c r="W1" s="3" t="s">
        <v>967</v>
      </c>
      <c r="X1" s="3" t="s">
        <v>259</v>
      </c>
      <c r="Y1" s="3" t="s">
        <v>507</v>
      </c>
      <c r="Z1" s="3" t="s">
        <v>575</v>
      </c>
      <c r="AA1" s="3" t="s">
        <v>905</v>
      </c>
      <c r="AB1">
        <v>80</v>
      </c>
      <c r="AC1">
        <v>0</v>
      </c>
      <c r="AD1" s="1">
        <v>42778</v>
      </c>
      <c r="AG1">
        <v>70</v>
      </c>
      <c r="AH1">
        <v>4</v>
      </c>
      <c r="AI1" s="3" t="s">
        <v>506</v>
      </c>
    </row>
    <row r="2" spans="1:35" ht="15">
      <c r="A2" t="str">
        <f t="shared" si="0"/>
        <v>1037</v>
      </c>
      <c r="B2" t="str">
        <f>"0221452114071"</f>
        <v>0221452114071</v>
      </c>
      <c r="C2" t="s">
        <v>490</v>
      </c>
      <c r="D2" t="s">
        <v>2</v>
      </c>
      <c r="E2" t="s">
        <v>8</v>
      </c>
      <c r="F2" t="s">
        <v>491</v>
      </c>
      <c r="G2" t="s">
        <v>25</v>
      </c>
      <c r="H2">
        <v>5.99</v>
      </c>
      <c r="I2">
        <v>12</v>
      </c>
      <c r="J2" t="str">
        <f>"9781452114071"</f>
        <v>9781452114071</v>
      </c>
      <c r="K2">
        <v>1011</v>
      </c>
      <c r="L2">
        <v>27.95</v>
      </c>
      <c r="M2">
        <v>0</v>
      </c>
      <c r="N2">
        <v>0</v>
      </c>
      <c r="O2">
        <v>8.78</v>
      </c>
      <c r="P2" s="1">
        <v>41943</v>
      </c>
      <c r="R2" s="3" t="s">
        <v>490</v>
      </c>
      <c r="S2" s="3" t="s">
        <v>651</v>
      </c>
      <c r="T2" s="3" t="s">
        <v>652</v>
      </c>
      <c r="U2" s="3" t="s">
        <v>506</v>
      </c>
      <c r="V2" s="3" t="s">
        <v>506</v>
      </c>
      <c r="W2" s="3" t="s">
        <v>653</v>
      </c>
      <c r="X2" s="3" t="s">
        <v>259</v>
      </c>
      <c r="Y2" s="3" t="s">
        <v>507</v>
      </c>
      <c r="Z2" s="3" t="s">
        <v>508</v>
      </c>
      <c r="AA2" s="3" t="s">
        <v>647</v>
      </c>
      <c r="AB2">
        <v>30</v>
      </c>
      <c r="AC2">
        <v>1</v>
      </c>
      <c r="AD2" s="1">
        <v>42743</v>
      </c>
      <c r="AE2">
        <v>6</v>
      </c>
      <c r="AF2" s="1">
        <v>42057</v>
      </c>
      <c r="AG2">
        <v>93</v>
      </c>
      <c r="AH2">
        <v>25</v>
      </c>
      <c r="AI2" s="3" t="s">
        <v>506</v>
      </c>
    </row>
    <row r="3" spans="1:35" ht="15">
      <c r="A3" t="str">
        <f t="shared" si="0"/>
        <v>1037</v>
      </c>
      <c r="B3" t="str">
        <f>"0201452106429"</f>
        <v>0201452106429</v>
      </c>
      <c r="C3" t="s">
        <v>228</v>
      </c>
      <c r="D3" t="s">
        <v>2</v>
      </c>
      <c r="E3" t="s">
        <v>14</v>
      </c>
      <c r="F3" t="s">
        <v>229</v>
      </c>
      <c r="G3" t="s">
        <v>13</v>
      </c>
      <c r="H3">
        <v>2.99</v>
      </c>
      <c r="I3">
        <v>12</v>
      </c>
      <c r="J3" t="str">
        <f>"9781452106427"</f>
        <v>9781452106427</v>
      </c>
      <c r="K3">
        <v>1011</v>
      </c>
      <c r="L3">
        <v>12.99</v>
      </c>
      <c r="M3">
        <v>28</v>
      </c>
      <c r="N3">
        <v>28</v>
      </c>
      <c r="O3">
        <v>3.96</v>
      </c>
      <c r="P3" s="1">
        <v>42202</v>
      </c>
      <c r="R3" s="3" t="s">
        <v>228</v>
      </c>
      <c r="S3" s="3" t="s">
        <v>752</v>
      </c>
      <c r="T3" s="3" t="s">
        <v>506</v>
      </c>
      <c r="U3" s="3" t="s">
        <v>506</v>
      </c>
      <c r="V3" s="3" t="s">
        <v>506</v>
      </c>
      <c r="W3" s="3" t="s">
        <v>753</v>
      </c>
      <c r="X3" s="3" t="s">
        <v>259</v>
      </c>
      <c r="Y3" s="3" t="s">
        <v>610</v>
      </c>
      <c r="Z3" s="3" t="s">
        <v>508</v>
      </c>
      <c r="AA3" s="3" t="s">
        <v>615</v>
      </c>
      <c r="AB3">
        <v>40</v>
      </c>
      <c r="AC3">
        <v>1</v>
      </c>
      <c r="AD3" s="1">
        <v>43254</v>
      </c>
      <c r="AE3">
        <v>1</v>
      </c>
      <c r="AF3" s="1">
        <v>43254</v>
      </c>
      <c r="AG3">
        <v>3470</v>
      </c>
      <c r="AH3">
        <v>2360</v>
      </c>
      <c r="AI3" s="3" t="s">
        <v>754</v>
      </c>
    </row>
    <row r="4" spans="1:30" ht="15">
      <c r="A4" t="str">
        <f t="shared" si="0"/>
        <v>1037</v>
      </c>
      <c r="B4" t="str">
        <f>"0201452156905"</f>
        <v>0201452156905</v>
      </c>
      <c r="C4" s="3" t="s">
        <v>1152</v>
      </c>
      <c r="E4" t="s">
        <v>325</v>
      </c>
      <c r="F4" t="s">
        <v>12</v>
      </c>
      <c r="G4">
        <v>3.99</v>
      </c>
      <c r="H4">
        <v>20</v>
      </c>
      <c r="I4" t="str">
        <f>"9781452156903"</f>
        <v>9781452156903</v>
      </c>
      <c r="J4" s="4">
        <v>1011</v>
      </c>
      <c r="K4" s="4">
        <v>21.95</v>
      </c>
      <c r="L4" s="4">
        <v>71</v>
      </c>
      <c r="M4" s="4">
        <v>71</v>
      </c>
      <c r="N4" s="4">
        <v>6.58</v>
      </c>
      <c r="O4" s="1">
        <v>42914</v>
      </c>
      <c r="Q4" s="3" t="s">
        <v>506</v>
      </c>
      <c r="R4" s="3" t="s">
        <v>703</v>
      </c>
      <c r="S4" s="3" t="s">
        <v>259</v>
      </c>
      <c r="T4" s="3" t="s">
        <v>610</v>
      </c>
      <c r="U4" s="3" t="s">
        <v>575</v>
      </c>
      <c r="V4" s="3" t="s">
        <v>986</v>
      </c>
      <c r="W4">
        <v>80</v>
      </c>
      <c r="X4">
        <v>3</v>
      </c>
      <c r="Y4" s="1">
        <v>43254</v>
      </c>
      <c r="AB4">
        <v>67</v>
      </c>
      <c r="AC4">
        <v>8</v>
      </c>
      <c r="AD4" s="3" t="s">
        <v>506</v>
      </c>
    </row>
    <row r="5" spans="1:30" ht="15">
      <c r="A5" t="str">
        <f t="shared" si="0"/>
        <v>1037</v>
      </c>
      <c r="B5" t="str">
        <f>"0201452127097"</f>
        <v>0201452127097</v>
      </c>
      <c r="C5" s="3" t="s">
        <v>968</v>
      </c>
      <c r="D5" t="s">
        <v>264</v>
      </c>
      <c r="E5" t="s">
        <v>8</v>
      </c>
      <c r="F5" t="s">
        <v>75</v>
      </c>
      <c r="G5">
        <v>4.99</v>
      </c>
      <c r="H5">
        <v>30</v>
      </c>
      <c r="I5" t="str">
        <f>"9781452127095"</f>
        <v>9781452127095</v>
      </c>
      <c r="J5" s="4">
        <v>1011</v>
      </c>
      <c r="K5" s="4">
        <v>23.99</v>
      </c>
      <c r="L5" s="4">
        <v>15</v>
      </c>
      <c r="M5" s="4">
        <v>15</v>
      </c>
      <c r="N5" s="4">
        <v>7.49</v>
      </c>
      <c r="O5" s="1">
        <v>42795</v>
      </c>
      <c r="Q5" s="3" t="s">
        <v>969</v>
      </c>
      <c r="R5" s="3" t="s">
        <v>970</v>
      </c>
      <c r="S5" s="3" t="s">
        <v>259</v>
      </c>
      <c r="T5" s="3" t="s">
        <v>610</v>
      </c>
      <c r="U5" s="3" t="s">
        <v>508</v>
      </c>
      <c r="V5" s="3" t="s">
        <v>807</v>
      </c>
      <c r="W5">
        <v>22</v>
      </c>
      <c r="X5">
        <v>21</v>
      </c>
      <c r="Y5" s="1">
        <v>43254</v>
      </c>
      <c r="Z5">
        <v>20</v>
      </c>
      <c r="AA5" s="1">
        <v>43254</v>
      </c>
      <c r="AB5">
        <v>347</v>
      </c>
      <c r="AC5">
        <v>247</v>
      </c>
      <c r="AD5" s="3" t="s">
        <v>696</v>
      </c>
    </row>
    <row r="6" spans="1:30" ht="15">
      <c r="A6" t="str">
        <f t="shared" si="0"/>
        <v>1037</v>
      </c>
      <c r="B6" t="str">
        <f>"0201452117227"</f>
        <v>0201452117227</v>
      </c>
      <c r="C6" s="3" t="s">
        <v>891</v>
      </c>
      <c r="D6" t="s">
        <v>15</v>
      </c>
      <c r="E6" t="s">
        <v>14</v>
      </c>
      <c r="F6" t="s">
        <v>13</v>
      </c>
      <c r="G6">
        <v>1.99</v>
      </c>
      <c r="H6">
        <v>33</v>
      </c>
      <c r="I6" t="str">
        <f>"9781452117225"</f>
        <v>9781452117225</v>
      </c>
      <c r="J6" s="4">
        <v>1011</v>
      </c>
      <c r="K6" s="4">
        <v>10.99</v>
      </c>
      <c r="L6" s="4">
        <v>0</v>
      </c>
      <c r="M6" s="4">
        <v>0</v>
      </c>
      <c r="N6" s="4">
        <v>3.52</v>
      </c>
      <c r="O6" s="1">
        <v>42460</v>
      </c>
      <c r="Q6" s="3" t="s">
        <v>506</v>
      </c>
      <c r="R6" s="3" t="s">
        <v>892</v>
      </c>
      <c r="S6" s="3" t="s">
        <v>259</v>
      </c>
      <c r="T6" s="3" t="s">
        <v>507</v>
      </c>
      <c r="U6" s="3" t="s">
        <v>508</v>
      </c>
      <c r="V6" s="3" t="s">
        <v>509</v>
      </c>
      <c r="W6">
        <v>60</v>
      </c>
      <c r="X6">
        <v>2</v>
      </c>
      <c r="Y6" s="1">
        <v>43254</v>
      </c>
      <c r="Z6">
        <v>1</v>
      </c>
      <c r="AA6" s="1">
        <v>43051</v>
      </c>
      <c r="AB6">
        <v>409</v>
      </c>
      <c r="AC6">
        <v>216</v>
      </c>
      <c r="AD6" s="3" t="s">
        <v>708</v>
      </c>
    </row>
    <row r="7" spans="1:30" ht="15">
      <c r="A7" t="str">
        <f t="shared" si="0"/>
        <v>1037</v>
      </c>
      <c r="B7" t="str">
        <f>"0201452134354"</f>
        <v>0201452134354</v>
      </c>
      <c r="C7" s="3" t="s">
        <v>906</v>
      </c>
      <c r="D7" t="s">
        <v>278</v>
      </c>
      <c r="E7" t="s">
        <v>8</v>
      </c>
      <c r="F7" t="s">
        <v>231</v>
      </c>
      <c r="G7">
        <v>9.99</v>
      </c>
      <c r="H7">
        <v>34</v>
      </c>
      <c r="I7" t="str">
        <f>"9781452134352"</f>
        <v>9781452134352</v>
      </c>
      <c r="J7" s="4">
        <v>1011</v>
      </c>
      <c r="K7" s="4">
        <v>56</v>
      </c>
      <c r="L7" s="4">
        <v>86</v>
      </c>
      <c r="M7" s="4">
        <v>86</v>
      </c>
      <c r="N7" s="4">
        <v>17.61</v>
      </c>
      <c r="O7" s="1">
        <v>42615</v>
      </c>
      <c r="Q7" s="3" t="s">
        <v>907</v>
      </c>
      <c r="R7" s="3" t="s">
        <v>908</v>
      </c>
      <c r="S7" s="3" t="s">
        <v>259</v>
      </c>
      <c r="T7" s="3" t="s">
        <v>610</v>
      </c>
      <c r="U7" s="3" t="s">
        <v>508</v>
      </c>
      <c r="V7" s="3" t="s">
        <v>868</v>
      </c>
      <c r="W7">
        <v>10</v>
      </c>
      <c r="X7">
        <v>39</v>
      </c>
      <c r="Y7" s="1">
        <v>43254</v>
      </c>
      <c r="Z7">
        <v>36</v>
      </c>
      <c r="AA7" s="1">
        <v>43254</v>
      </c>
      <c r="AB7">
        <v>598</v>
      </c>
      <c r="AC7">
        <v>260</v>
      </c>
      <c r="AD7" s="3" t="s">
        <v>506</v>
      </c>
    </row>
    <row r="8" spans="1:30" ht="15">
      <c r="A8" t="str">
        <f t="shared" si="0"/>
        <v>1037</v>
      </c>
      <c r="B8" t="str">
        <f>"0201452139854"</f>
        <v>0201452139854</v>
      </c>
      <c r="C8" s="3" t="s">
        <v>888</v>
      </c>
      <c r="D8" t="s">
        <v>291</v>
      </c>
      <c r="E8" t="s">
        <v>290</v>
      </c>
      <c r="F8" t="s">
        <v>12</v>
      </c>
      <c r="G8">
        <v>3.99</v>
      </c>
      <c r="H8">
        <v>35</v>
      </c>
      <c r="I8" t="str">
        <f>"9781452139852"</f>
        <v>9781452139852</v>
      </c>
      <c r="J8" s="4">
        <v>1011</v>
      </c>
      <c r="K8" s="4">
        <v>18.5</v>
      </c>
      <c r="L8" s="4">
        <v>46</v>
      </c>
      <c r="M8" s="4">
        <v>46</v>
      </c>
      <c r="N8" s="4">
        <v>5.7</v>
      </c>
      <c r="O8" s="1">
        <v>42440</v>
      </c>
      <c r="Q8" s="3" t="s">
        <v>889</v>
      </c>
      <c r="R8" s="3" t="s">
        <v>703</v>
      </c>
      <c r="S8" s="3" t="s">
        <v>259</v>
      </c>
      <c r="T8" s="3" t="s">
        <v>610</v>
      </c>
      <c r="U8" s="3" t="s">
        <v>508</v>
      </c>
      <c r="V8" s="3" t="s">
        <v>807</v>
      </c>
      <c r="W8">
        <v>100</v>
      </c>
      <c r="X8">
        <v>1</v>
      </c>
      <c r="Y8" s="1">
        <v>43254</v>
      </c>
      <c r="AB8">
        <v>155</v>
      </c>
      <c r="AC8">
        <v>8</v>
      </c>
      <c r="AD8" s="3" t="s">
        <v>506</v>
      </c>
    </row>
    <row r="9" spans="1:30" ht="15">
      <c r="A9" t="str">
        <f t="shared" si="0"/>
        <v>1037</v>
      </c>
      <c r="B9" t="str">
        <f>"0201452105453"</f>
        <v>0201452105453</v>
      </c>
      <c r="C9" s="3" t="s">
        <v>1153</v>
      </c>
      <c r="D9" t="s">
        <v>226</v>
      </c>
      <c r="E9" t="s">
        <v>11</v>
      </c>
      <c r="F9" t="s">
        <v>189</v>
      </c>
      <c r="G9">
        <v>4.99</v>
      </c>
      <c r="H9">
        <v>37</v>
      </c>
      <c r="I9" t="str">
        <f>"9781452105451"</f>
        <v>9781452105451</v>
      </c>
      <c r="J9" s="4">
        <v>1011</v>
      </c>
      <c r="K9" s="4">
        <v>23.99</v>
      </c>
      <c r="L9" s="4">
        <v>3</v>
      </c>
      <c r="M9" s="4">
        <v>3</v>
      </c>
      <c r="N9" s="4">
        <v>7.49</v>
      </c>
      <c r="O9" s="1">
        <v>42914</v>
      </c>
      <c r="Q9" s="3" t="s">
        <v>1154</v>
      </c>
      <c r="R9" s="3" t="s">
        <v>765</v>
      </c>
      <c r="S9" s="3" t="s">
        <v>259</v>
      </c>
      <c r="T9" s="3" t="s">
        <v>507</v>
      </c>
      <c r="U9" s="3" t="s">
        <v>508</v>
      </c>
      <c r="V9" s="3" t="s">
        <v>521</v>
      </c>
      <c r="W9">
        <v>32</v>
      </c>
      <c r="X9">
        <v>1</v>
      </c>
      <c r="Y9" s="1">
        <v>43254</v>
      </c>
      <c r="Z9">
        <v>2</v>
      </c>
      <c r="AA9" s="1">
        <v>42687</v>
      </c>
      <c r="AB9">
        <v>424</v>
      </c>
      <c r="AC9">
        <v>30</v>
      </c>
      <c r="AD9" s="3" t="s">
        <v>901</v>
      </c>
    </row>
    <row r="10" spans="1:30" ht="15">
      <c r="A10" t="str">
        <f t="shared" si="0"/>
        <v>1037</v>
      </c>
      <c r="B10" t="str">
        <f>"0201452140058"</f>
        <v>0201452140058</v>
      </c>
      <c r="C10" s="3" t="s">
        <v>1155</v>
      </c>
      <c r="D10" t="s">
        <v>260</v>
      </c>
      <c r="E10" t="s">
        <v>8</v>
      </c>
      <c r="F10" t="s">
        <v>199</v>
      </c>
      <c r="G10">
        <v>2.99</v>
      </c>
      <c r="H10">
        <v>40</v>
      </c>
      <c r="I10" t="str">
        <f>"9781452140056"</f>
        <v>9781452140056</v>
      </c>
      <c r="J10" s="4">
        <v>1011</v>
      </c>
      <c r="K10" s="4">
        <v>13.95</v>
      </c>
      <c r="L10" s="4">
        <v>23</v>
      </c>
      <c r="M10" s="4">
        <v>23</v>
      </c>
      <c r="N10" s="4">
        <v>4.38</v>
      </c>
      <c r="O10" s="1">
        <v>42914</v>
      </c>
      <c r="Q10" s="3" t="s">
        <v>506</v>
      </c>
      <c r="R10" s="3" t="s">
        <v>773</v>
      </c>
      <c r="S10" s="3" t="s">
        <v>259</v>
      </c>
      <c r="T10" s="3" t="s">
        <v>610</v>
      </c>
      <c r="U10" s="3" t="s">
        <v>508</v>
      </c>
      <c r="V10" s="3" t="s">
        <v>807</v>
      </c>
      <c r="W10">
        <v>60</v>
      </c>
      <c r="X10">
        <v>8</v>
      </c>
      <c r="Y10" s="1">
        <v>43254</v>
      </c>
      <c r="Z10">
        <v>3</v>
      </c>
      <c r="AA10" s="1">
        <v>43254</v>
      </c>
      <c r="AB10">
        <v>425</v>
      </c>
      <c r="AC10">
        <v>139</v>
      </c>
      <c r="AD10" s="3" t="s">
        <v>506</v>
      </c>
    </row>
    <row r="11" spans="1:30" ht="15">
      <c r="A11" t="str">
        <f t="shared" si="0"/>
        <v>1037</v>
      </c>
      <c r="B11" t="str">
        <f>"0201452150606"</f>
        <v>0201452150606</v>
      </c>
      <c r="C11" s="3" t="s">
        <v>1156</v>
      </c>
      <c r="E11" t="s">
        <v>20</v>
      </c>
      <c r="F11" t="s">
        <v>7</v>
      </c>
      <c r="G11">
        <v>4.99</v>
      </c>
      <c r="H11">
        <v>40</v>
      </c>
      <c r="I11" t="str">
        <f>"9781452150604"</f>
        <v>9781452150604</v>
      </c>
      <c r="J11" s="4">
        <v>1011</v>
      </c>
      <c r="K11" s="4">
        <v>23.95</v>
      </c>
      <c r="L11" s="4">
        <v>8</v>
      </c>
      <c r="M11" s="4">
        <v>8</v>
      </c>
      <c r="N11" s="4">
        <v>7.46</v>
      </c>
      <c r="O11" s="1">
        <v>42914</v>
      </c>
      <c r="Q11" s="3" t="s">
        <v>1157</v>
      </c>
      <c r="R11" s="3" t="s">
        <v>1158</v>
      </c>
      <c r="S11" s="3" t="s">
        <v>259</v>
      </c>
      <c r="T11" s="3" t="s">
        <v>507</v>
      </c>
      <c r="U11" s="3" t="s">
        <v>575</v>
      </c>
      <c r="V11" s="3" t="s">
        <v>905</v>
      </c>
      <c r="W11">
        <v>60</v>
      </c>
      <c r="X11">
        <v>1</v>
      </c>
      <c r="Y11" s="1">
        <v>43254</v>
      </c>
      <c r="AB11">
        <v>50</v>
      </c>
      <c r="AC11">
        <v>1</v>
      </c>
      <c r="AD11" s="3" t="s">
        <v>506</v>
      </c>
    </row>
    <row r="12" spans="1:30" ht="15">
      <c r="A12" t="str">
        <f t="shared" si="0"/>
        <v>1037</v>
      </c>
      <c r="B12" t="str">
        <f>"0201452151955"</f>
        <v>0201452151955</v>
      </c>
      <c r="C12" s="3" t="s">
        <v>1159</v>
      </c>
      <c r="E12" t="s">
        <v>320</v>
      </c>
      <c r="F12" t="s">
        <v>12</v>
      </c>
      <c r="G12">
        <v>3.99</v>
      </c>
      <c r="H12">
        <v>44</v>
      </c>
      <c r="I12" t="str">
        <f>"9781452151953"</f>
        <v>9781452151953</v>
      </c>
      <c r="J12" s="4">
        <v>1011</v>
      </c>
      <c r="K12" s="4">
        <v>21.95</v>
      </c>
      <c r="L12" s="4">
        <v>3</v>
      </c>
      <c r="M12" s="4">
        <v>3</v>
      </c>
      <c r="N12" s="4">
        <v>6.58</v>
      </c>
      <c r="O12" s="1">
        <v>42914</v>
      </c>
      <c r="Q12" s="3" t="s">
        <v>506</v>
      </c>
      <c r="R12" s="3" t="s">
        <v>703</v>
      </c>
      <c r="S12" s="3" t="s">
        <v>259</v>
      </c>
      <c r="T12" s="3" t="s">
        <v>507</v>
      </c>
      <c r="U12" s="3" t="s">
        <v>575</v>
      </c>
      <c r="V12" s="3" t="s">
        <v>986</v>
      </c>
      <c r="W12">
        <v>36</v>
      </c>
      <c r="AB12">
        <v>12</v>
      </c>
      <c r="AD12" s="3" t="s">
        <v>506</v>
      </c>
    </row>
    <row r="13" spans="1:30" ht="15">
      <c r="A13" t="str">
        <f t="shared" si="0"/>
        <v>1037</v>
      </c>
      <c r="B13" t="str">
        <f>"0201452133548"</f>
        <v>0201452133548</v>
      </c>
      <c r="C13" s="3" t="s">
        <v>921</v>
      </c>
      <c r="D13" t="s">
        <v>276</v>
      </c>
      <c r="E13" t="s">
        <v>6</v>
      </c>
      <c r="F13" t="s">
        <v>7</v>
      </c>
      <c r="G13">
        <v>4.99</v>
      </c>
      <c r="H13">
        <v>45</v>
      </c>
      <c r="I13" t="str">
        <f>"9781452133546"</f>
        <v>9781452133546</v>
      </c>
      <c r="J13" s="4">
        <v>1011</v>
      </c>
      <c r="K13" s="4">
        <v>26.95</v>
      </c>
      <c r="L13" s="4">
        <v>8</v>
      </c>
      <c r="M13" s="4">
        <v>8</v>
      </c>
      <c r="N13" s="4">
        <v>8.34</v>
      </c>
      <c r="O13" s="1">
        <v>42657</v>
      </c>
      <c r="Q13" s="3" t="s">
        <v>922</v>
      </c>
      <c r="R13" s="3" t="s">
        <v>923</v>
      </c>
      <c r="S13" s="3" t="s">
        <v>259</v>
      </c>
      <c r="T13" s="3" t="s">
        <v>610</v>
      </c>
      <c r="U13" s="3" t="s">
        <v>508</v>
      </c>
      <c r="V13" s="3" t="s">
        <v>807</v>
      </c>
      <c r="W13">
        <v>32</v>
      </c>
      <c r="X13">
        <v>3</v>
      </c>
      <c r="Y13" s="1">
        <v>43254</v>
      </c>
      <c r="Z13">
        <v>0</v>
      </c>
      <c r="AA13" s="1">
        <v>43205</v>
      </c>
      <c r="AB13">
        <v>383</v>
      </c>
      <c r="AC13">
        <v>164</v>
      </c>
      <c r="AD13" s="3" t="s">
        <v>506</v>
      </c>
    </row>
    <row r="14" spans="1:30" ht="15">
      <c r="A14" t="str">
        <f t="shared" si="0"/>
        <v>1037</v>
      </c>
      <c r="B14" t="str">
        <f>"0201452117340"</f>
        <v>0201452117340</v>
      </c>
      <c r="C14" s="3" t="s">
        <v>971</v>
      </c>
      <c r="D14" t="s">
        <v>246</v>
      </c>
      <c r="E14" t="s">
        <v>6</v>
      </c>
      <c r="F14" t="s">
        <v>16</v>
      </c>
      <c r="G14">
        <v>2.99</v>
      </c>
      <c r="H14">
        <v>50</v>
      </c>
      <c r="I14" t="str">
        <f>"9781452117348"</f>
        <v>9781452117348</v>
      </c>
      <c r="J14" s="4">
        <v>1011</v>
      </c>
      <c r="K14" s="4">
        <v>13.95</v>
      </c>
      <c r="L14" s="4">
        <v>40</v>
      </c>
      <c r="M14" s="4">
        <v>40</v>
      </c>
      <c r="N14" s="4">
        <v>4.38</v>
      </c>
      <c r="O14" s="1">
        <v>42795</v>
      </c>
      <c r="Q14" s="3" t="s">
        <v>506</v>
      </c>
      <c r="R14" s="3" t="s">
        <v>972</v>
      </c>
      <c r="S14" s="3" t="s">
        <v>259</v>
      </c>
      <c r="T14" s="3" t="s">
        <v>507</v>
      </c>
      <c r="U14" s="3" t="s">
        <v>508</v>
      </c>
      <c r="V14" s="3" t="s">
        <v>615</v>
      </c>
      <c r="W14">
        <v>120</v>
      </c>
      <c r="X14">
        <v>39</v>
      </c>
      <c r="Y14" s="1">
        <v>43254</v>
      </c>
      <c r="Z14">
        <v>39</v>
      </c>
      <c r="AA14" s="1">
        <v>43254</v>
      </c>
      <c r="AB14">
        <v>317</v>
      </c>
      <c r="AC14">
        <v>131</v>
      </c>
      <c r="AD14" s="3" t="s">
        <v>506</v>
      </c>
    </row>
    <row r="15" spans="1:30" ht="15">
      <c r="A15" t="str">
        <f t="shared" si="0"/>
        <v>1037</v>
      </c>
      <c r="B15" t="str">
        <f>"0201452122245"</f>
        <v>0201452122245</v>
      </c>
      <c r="C15" s="3" t="s">
        <v>1160</v>
      </c>
      <c r="D15" t="s">
        <v>252</v>
      </c>
      <c r="E15" t="s">
        <v>8</v>
      </c>
      <c r="F15" t="s">
        <v>25</v>
      </c>
      <c r="G15">
        <v>9.99</v>
      </c>
      <c r="H15">
        <v>50</v>
      </c>
      <c r="I15" t="str">
        <f>"9781452122243"</f>
        <v>9781452122243</v>
      </c>
      <c r="J15" s="4">
        <v>1011</v>
      </c>
      <c r="K15" s="4">
        <v>57</v>
      </c>
      <c r="L15" s="4">
        <v>159</v>
      </c>
      <c r="M15" s="4">
        <v>159</v>
      </c>
      <c r="N15" s="4">
        <v>17.61</v>
      </c>
      <c r="O15" s="1">
        <v>42914</v>
      </c>
      <c r="Q15" s="3" t="s">
        <v>506</v>
      </c>
      <c r="R15" s="3" t="s">
        <v>712</v>
      </c>
      <c r="S15" s="3" t="s">
        <v>259</v>
      </c>
      <c r="T15" s="3" t="s">
        <v>610</v>
      </c>
      <c r="U15" s="3" t="s">
        <v>508</v>
      </c>
      <c r="V15" s="3" t="s">
        <v>905</v>
      </c>
      <c r="W15">
        <v>10</v>
      </c>
      <c r="X15">
        <v>42</v>
      </c>
      <c r="Y15" s="1">
        <v>43254</v>
      </c>
      <c r="Z15">
        <v>39</v>
      </c>
      <c r="AA15" s="1">
        <v>43254</v>
      </c>
      <c r="AB15">
        <v>327</v>
      </c>
      <c r="AC15">
        <v>163</v>
      </c>
      <c r="AD15" s="3" t="s">
        <v>506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92E0B-59A0-4890-BEFC-FFDE7FD9AF94}">
  <dimension ref="A1:AJ110"/>
  <sheetViews>
    <sheetView workbookViewId="0" topLeftCell="A1">
      <selection activeCell="A1" sqref="A1:XFD110"/>
    </sheetView>
  </sheetViews>
  <sheetFormatPr defaultColWidth="9.140625" defaultRowHeight="15"/>
  <sheetData>
    <row r="1" spans="1:36" ht="15">
      <c r="A1" t="str">
        <f aca="true" t="shared" si="0" ref="A1:A21">"0179"</f>
        <v>0179</v>
      </c>
      <c r="B1" t="str">
        <f>"0221401927097"</f>
        <v>0221401927097</v>
      </c>
      <c r="C1" t="s">
        <v>421</v>
      </c>
      <c r="D1" t="s">
        <v>2</v>
      </c>
      <c r="E1" t="s">
        <v>8</v>
      </c>
      <c r="F1" t="s">
        <v>29</v>
      </c>
      <c r="G1" t="s">
        <v>5</v>
      </c>
      <c r="H1">
        <v>4.99</v>
      </c>
      <c r="I1">
        <v>177</v>
      </c>
      <c r="J1">
        <v>177</v>
      </c>
      <c r="K1" t="str">
        <f>"9781401927097"</f>
        <v>9781401927097</v>
      </c>
      <c r="L1">
        <v>135</v>
      </c>
      <c r="M1">
        <v>24.95</v>
      </c>
      <c r="N1">
        <v>0</v>
      </c>
      <c r="O1">
        <v>0</v>
      </c>
      <c r="P1">
        <v>9.48</v>
      </c>
      <c r="Q1" s="1">
        <v>41698</v>
      </c>
      <c r="S1" s="3" t="s">
        <v>421</v>
      </c>
      <c r="T1" s="3" t="s">
        <v>636</v>
      </c>
      <c r="U1" s="3" t="s">
        <v>637</v>
      </c>
      <c r="V1" s="3" t="s">
        <v>506</v>
      </c>
      <c r="W1" s="3" t="s">
        <v>506</v>
      </c>
      <c r="X1" s="3" t="s">
        <v>574</v>
      </c>
      <c r="Y1" s="3" t="s">
        <v>638</v>
      </c>
      <c r="Z1" s="3" t="s">
        <v>507</v>
      </c>
      <c r="AA1" s="3" t="s">
        <v>508</v>
      </c>
      <c r="AB1" s="3" t="s">
        <v>639</v>
      </c>
      <c r="AC1">
        <v>12</v>
      </c>
      <c r="AD1">
        <v>2</v>
      </c>
      <c r="AE1" s="1">
        <v>43254</v>
      </c>
      <c r="AF1">
        <v>4</v>
      </c>
      <c r="AG1" s="1">
        <v>41903</v>
      </c>
      <c r="AH1">
        <v>5986</v>
      </c>
      <c r="AI1">
        <v>4342</v>
      </c>
      <c r="AJ1" s="3" t="s">
        <v>506</v>
      </c>
    </row>
    <row r="2" spans="1:36" ht="15">
      <c r="A2" t="str">
        <f t="shared" si="0"/>
        <v>0179</v>
      </c>
      <c r="B2" t="str">
        <f>"0221401943387"</f>
        <v>0221401943387</v>
      </c>
      <c r="C2" t="s">
        <v>105</v>
      </c>
      <c r="D2" t="s">
        <v>2</v>
      </c>
      <c r="E2" t="s">
        <v>8</v>
      </c>
      <c r="F2" t="s">
        <v>430</v>
      </c>
      <c r="G2" t="s">
        <v>31</v>
      </c>
      <c r="H2">
        <v>5.99</v>
      </c>
      <c r="I2">
        <v>284</v>
      </c>
      <c r="J2">
        <v>284</v>
      </c>
      <c r="K2" t="str">
        <f>"9781401943387"</f>
        <v>9781401943387</v>
      </c>
      <c r="L2">
        <v>135</v>
      </c>
      <c r="M2">
        <v>36.95</v>
      </c>
      <c r="N2">
        <v>0</v>
      </c>
      <c r="O2">
        <v>0</v>
      </c>
      <c r="P2">
        <v>14.04</v>
      </c>
      <c r="Q2" s="1">
        <v>41891</v>
      </c>
      <c r="S2" s="3" t="s">
        <v>105</v>
      </c>
      <c r="T2" s="3" t="s">
        <v>644</v>
      </c>
      <c r="U2" s="3" t="s">
        <v>645</v>
      </c>
      <c r="V2" s="3" t="s">
        <v>506</v>
      </c>
      <c r="W2" s="3" t="s">
        <v>506</v>
      </c>
      <c r="X2" s="3" t="s">
        <v>646</v>
      </c>
      <c r="Y2" s="3" t="s">
        <v>638</v>
      </c>
      <c r="Z2" s="3" t="s">
        <v>507</v>
      </c>
      <c r="AA2" s="3" t="s">
        <v>508</v>
      </c>
      <c r="AB2" s="3" t="s">
        <v>647</v>
      </c>
      <c r="AC2">
        <v>12</v>
      </c>
      <c r="AD2">
        <v>0</v>
      </c>
      <c r="AE2" s="1">
        <v>43191</v>
      </c>
      <c r="AF2">
        <v>1</v>
      </c>
      <c r="AG2" s="1">
        <v>42260</v>
      </c>
      <c r="AH2">
        <v>217</v>
      </c>
      <c r="AI2">
        <v>158</v>
      </c>
      <c r="AJ2" s="3" t="s">
        <v>506</v>
      </c>
    </row>
    <row r="3" spans="1:36" ht="15">
      <c r="A3" t="str">
        <f t="shared" si="0"/>
        <v>0179</v>
      </c>
      <c r="B3" t="str">
        <f>"0221401910389"</f>
        <v>0221401910389</v>
      </c>
      <c r="C3" t="s">
        <v>182</v>
      </c>
      <c r="D3" t="s">
        <v>2</v>
      </c>
      <c r="E3" t="s">
        <v>8</v>
      </c>
      <c r="F3" t="s">
        <v>29</v>
      </c>
      <c r="G3" t="s">
        <v>5</v>
      </c>
      <c r="H3">
        <v>3.74</v>
      </c>
      <c r="I3">
        <v>318</v>
      </c>
      <c r="J3">
        <v>318</v>
      </c>
      <c r="K3" t="str">
        <f>"9781401910389"</f>
        <v>9781401910389</v>
      </c>
      <c r="L3">
        <v>135</v>
      </c>
      <c r="M3">
        <v>20.95</v>
      </c>
      <c r="N3">
        <v>0</v>
      </c>
      <c r="O3">
        <v>0</v>
      </c>
      <c r="P3">
        <v>7.961</v>
      </c>
      <c r="Q3" s="1">
        <v>41891</v>
      </c>
      <c r="S3" s="3" t="s">
        <v>182</v>
      </c>
      <c r="T3" s="3" t="s">
        <v>648</v>
      </c>
      <c r="U3" s="3" t="s">
        <v>649</v>
      </c>
      <c r="V3" s="3" t="s">
        <v>506</v>
      </c>
      <c r="W3" s="3" t="s">
        <v>506</v>
      </c>
      <c r="X3" s="3" t="s">
        <v>559</v>
      </c>
      <c r="Y3" s="3" t="s">
        <v>638</v>
      </c>
      <c r="Z3" s="3" t="s">
        <v>507</v>
      </c>
      <c r="AA3" s="3" t="s">
        <v>508</v>
      </c>
      <c r="AB3" s="3" t="s">
        <v>650</v>
      </c>
      <c r="AC3">
        <v>12</v>
      </c>
      <c r="AD3">
        <v>1</v>
      </c>
      <c r="AE3" s="1">
        <v>43254</v>
      </c>
      <c r="AF3">
        <v>0</v>
      </c>
      <c r="AG3" s="1">
        <v>42953</v>
      </c>
      <c r="AH3">
        <v>19824</v>
      </c>
      <c r="AI3">
        <v>15356</v>
      </c>
      <c r="AJ3" s="3" t="s">
        <v>506</v>
      </c>
    </row>
    <row r="4" spans="1:36" ht="15">
      <c r="A4" t="str">
        <f t="shared" si="0"/>
        <v>0179</v>
      </c>
      <c r="B4" t="str">
        <f>"0201401940500"</f>
        <v>0201401940500</v>
      </c>
      <c r="C4" t="s">
        <v>68</v>
      </c>
      <c r="D4" t="s">
        <v>2</v>
      </c>
      <c r="E4" t="s">
        <v>6</v>
      </c>
      <c r="F4" t="s">
        <v>42</v>
      </c>
      <c r="G4" t="s">
        <v>9</v>
      </c>
      <c r="H4">
        <v>0.99</v>
      </c>
      <c r="I4">
        <v>67</v>
      </c>
      <c r="J4">
        <v>67</v>
      </c>
      <c r="K4" t="str">
        <f>"9781401940508"</f>
        <v>9781401940508</v>
      </c>
      <c r="L4">
        <v>135</v>
      </c>
      <c r="M4">
        <v>8.99</v>
      </c>
      <c r="N4">
        <v>6</v>
      </c>
      <c r="O4">
        <v>6</v>
      </c>
      <c r="P4">
        <v>3.42</v>
      </c>
      <c r="Q4" s="1">
        <v>42066</v>
      </c>
      <c r="S4" s="3" t="s">
        <v>68</v>
      </c>
      <c r="T4" s="3" t="s">
        <v>658</v>
      </c>
      <c r="U4" s="3" t="s">
        <v>659</v>
      </c>
      <c r="V4" s="3" t="s">
        <v>506</v>
      </c>
      <c r="W4" s="3" t="s">
        <v>506</v>
      </c>
      <c r="X4" s="3" t="s">
        <v>660</v>
      </c>
      <c r="Y4" s="3" t="s">
        <v>638</v>
      </c>
      <c r="Z4" s="3" t="s">
        <v>610</v>
      </c>
      <c r="AA4" s="3" t="s">
        <v>508</v>
      </c>
      <c r="AB4" s="3" t="s">
        <v>576</v>
      </c>
      <c r="AC4">
        <v>24</v>
      </c>
      <c r="AD4">
        <v>1</v>
      </c>
      <c r="AE4" s="1">
        <v>43254</v>
      </c>
      <c r="AF4">
        <v>1</v>
      </c>
      <c r="AG4" s="1">
        <v>43254</v>
      </c>
      <c r="AH4">
        <v>779</v>
      </c>
      <c r="AI4">
        <v>667</v>
      </c>
      <c r="AJ4" s="3" t="s">
        <v>506</v>
      </c>
    </row>
    <row r="5" spans="1:36" ht="15">
      <c r="A5" t="str">
        <f t="shared" si="0"/>
        <v>0179</v>
      </c>
      <c r="B5" t="str">
        <f>"0201401935285"</f>
        <v>0201401935285</v>
      </c>
      <c r="C5" t="s">
        <v>51</v>
      </c>
      <c r="D5" t="s">
        <v>2</v>
      </c>
      <c r="E5" t="s">
        <v>52</v>
      </c>
      <c r="F5" t="s">
        <v>53</v>
      </c>
      <c r="G5" t="s">
        <v>54</v>
      </c>
      <c r="H5">
        <v>3.99</v>
      </c>
      <c r="I5">
        <v>96</v>
      </c>
      <c r="J5">
        <v>96</v>
      </c>
      <c r="K5" t="str">
        <f>"9781401935283"</f>
        <v>9781401935283</v>
      </c>
      <c r="L5">
        <v>135</v>
      </c>
      <c r="M5">
        <v>17.95</v>
      </c>
      <c r="N5">
        <v>26</v>
      </c>
      <c r="O5">
        <v>26</v>
      </c>
      <c r="P5">
        <v>6.82115</v>
      </c>
      <c r="Q5" s="1">
        <v>42066</v>
      </c>
      <c r="S5" s="3" t="s">
        <v>51</v>
      </c>
      <c r="T5" s="3" t="s">
        <v>661</v>
      </c>
      <c r="U5" s="3" t="s">
        <v>662</v>
      </c>
      <c r="V5" s="3" t="s">
        <v>506</v>
      </c>
      <c r="W5" s="3" t="s">
        <v>506</v>
      </c>
      <c r="X5" s="3" t="s">
        <v>663</v>
      </c>
      <c r="Y5" s="3" t="s">
        <v>638</v>
      </c>
      <c r="Z5" s="3" t="s">
        <v>507</v>
      </c>
      <c r="AA5" s="3" t="s">
        <v>508</v>
      </c>
      <c r="AB5" s="3" t="s">
        <v>526</v>
      </c>
      <c r="AC5">
        <v>24</v>
      </c>
      <c r="AD5">
        <v>0</v>
      </c>
      <c r="AE5" s="1">
        <v>43023</v>
      </c>
      <c r="AF5">
        <v>1</v>
      </c>
      <c r="AG5" s="1">
        <v>41805</v>
      </c>
      <c r="AH5">
        <v>371</v>
      </c>
      <c r="AI5">
        <v>202</v>
      </c>
      <c r="AJ5" s="3" t="s">
        <v>506</v>
      </c>
    </row>
    <row r="6" spans="1:36" ht="15">
      <c r="A6" t="str">
        <f t="shared" si="0"/>
        <v>0179</v>
      </c>
      <c r="B6" t="str">
        <f>"0201401942870"</f>
        <v>0201401942870</v>
      </c>
      <c r="C6" t="s">
        <v>93</v>
      </c>
      <c r="D6" t="s">
        <v>2</v>
      </c>
      <c r="E6" t="s">
        <v>6</v>
      </c>
      <c r="F6" t="s">
        <v>90</v>
      </c>
      <c r="G6" t="s">
        <v>9</v>
      </c>
      <c r="H6">
        <v>3.99</v>
      </c>
      <c r="I6">
        <v>48</v>
      </c>
      <c r="J6">
        <v>48</v>
      </c>
      <c r="K6" t="str">
        <f>"9781401942878"</f>
        <v>9781401942878</v>
      </c>
      <c r="L6">
        <v>135</v>
      </c>
      <c r="M6">
        <v>16.95</v>
      </c>
      <c r="N6">
        <v>9</v>
      </c>
      <c r="O6">
        <v>9</v>
      </c>
      <c r="P6">
        <v>6.44118</v>
      </c>
      <c r="Q6" s="1">
        <v>42067</v>
      </c>
      <c r="S6" s="3" t="s">
        <v>93</v>
      </c>
      <c r="T6" s="3" t="s">
        <v>666</v>
      </c>
      <c r="U6" s="3" t="s">
        <v>667</v>
      </c>
      <c r="V6" s="3" t="s">
        <v>506</v>
      </c>
      <c r="W6" s="3" t="s">
        <v>506</v>
      </c>
      <c r="X6" s="3" t="s">
        <v>668</v>
      </c>
      <c r="Y6" s="3" t="s">
        <v>638</v>
      </c>
      <c r="Z6" s="3" t="s">
        <v>610</v>
      </c>
      <c r="AA6" s="3" t="s">
        <v>508</v>
      </c>
      <c r="AB6" s="3" t="s">
        <v>669</v>
      </c>
      <c r="AC6">
        <v>24</v>
      </c>
      <c r="AD6">
        <v>3</v>
      </c>
      <c r="AE6" s="1">
        <v>43254</v>
      </c>
      <c r="AF6">
        <v>3</v>
      </c>
      <c r="AG6" s="1">
        <v>43254</v>
      </c>
      <c r="AH6">
        <v>874</v>
      </c>
      <c r="AI6">
        <v>581</v>
      </c>
      <c r="AJ6" s="3" t="s">
        <v>506</v>
      </c>
    </row>
    <row r="7" spans="1:36" ht="15">
      <c r="A7" t="str">
        <f t="shared" si="0"/>
        <v>0179</v>
      </c>
      <c r="B7" t="str">
        <f>"0201401926368"</f>
        <v>0201401926368</v>
      </c>
      <c r="C7" t="s">
        <v>34</v>
      </c>
      <c r="D7" t="s">
        <v>2</v>
      </c>
      <c r="E7" t="s">
        <v>8</v>
      </c>
      <c r="F7" t="s">
        <v>35</v>
      </c>
      <c r="G7" t="s">
        <v>31</v>
      </c>
      <c r="H7">
        <v>3.99</v>
      </c>
      <c r="I7">
        <v>100</v>
      </c>
      <c r="J7">
        <v>100</v>
      </c>
      <c r="K7" t="str">
        <f>"9781401926366"</f>
        <v>9781401926366</v>
      </c>
      <c r="L7">
        <v>135</v>
      </c>
      <c r="M7">
        <v>19.95</v>
      </c>
      <c r="N7">
        <v>0</v>
      </c>
      <c r="O7">
        <v>0</v>
      </c>
      <c r="P7">
        <v>7.58125</v>
      </c>
      <c r="Q7" s="1">
        <v>42067</v>
      </c>
      <c r="S7" s="3" t="s">
        <v>34</v>
      </c>
      <c r="T7" s="3" t="s">
        <v>670</v>
      </c>
      <c r="U7" s="3" t="s">
        <v>506</v>
      </c>
      <c r="V7" s="3" t="s">
        <v>506</v>
      </c>
      <c r="W7" s="3" t="s">
        <v>506</v>
      </c>
      <c r="X7" s="3" t="s">
        <v>646</v>
      </c>
      <c r="Y7" s="3" t="s">
        <v>638</v>
      </c>
      <c r="Z7" s="3" t="s">
        <v>507</v>
      </c>
      <c r="AA7" s="3" t="s">
        <v>508</v>
      </c>
      <c r="AB7" s="3" t="s">
        <v>615</v>
      </c>
      <c r="AC7">
        <v>28</v>
      </c>
      <c r="AD7">
        <v>0</v>
      </c>
      <c r="AE7" s="1">
        <v>43044</v>
      </c>
      <c r="AF7">
        <v>1</v>
      </c>
      <c r="AG7" s="1">
        <v>42512</v>
      </c>
      <c r="AH7">
        <v>760</v>
      </c>
      <c r="AI7">
        <v>578</v>
      </c>
      <c r="AJ7" s="3" t="s">
        <v>506</v>
      </c>
    </row>
    <row r="8" spans="1:36" ht="15">
      <c r="A8" t="str">
        <f t="shared" si="0"/>
        <v>0179</v>
      </c>
      <c r="B8" t="str">
        <f>"0201401944140"</f>
        <v>0201401944140</v>
      </c>
      <c r="C8" t="s">
        <v>113</v>
      </c>
      <c r="D8" t="s">
        <v>2</v>
      </c>
      <c r="E8" t="s">
        <v>8</v>
      </c>
      <c r="F8" t="s">
        <v>99</v>
      </c>
      <c r="G8" t="s">
        <v>5</v>
      </c>
      <c r="H8">
        <v>4.99</v>
      </c>
      <c r="I8">
        <v>116</v>
      </c>
      <c r="J8">
        <v>116</v>
      </c>
      <c r="K8" t="str">
        <f>"9781401944148"</f>
        <v>9781401944148</v>
      </c>
      <c r="L8">
        <v>135</v>
      </c>
      <c r="M8">
        <v>27.95</v>
      </c>
      <c r="N8">
        <v>4</v>
      </c>
      <c r="O8">
        <v>4</v>
      </c>
      <c r="P8">
        <v>10.621</v>
      </c>
      <c r="Q8" s="1">
        <v>42067</v>
      </c>
      <c r="S8" s="3" t="s">
        <v>113</v>
      </c>
      <c r="T8" s="3" t="s">
        <v>671</v>
      </c>
      <c r="U8" s="3" t="s">
        <v>672</v>
      </c>
      <c r="V8" s="3" t="s">
        <v>506</v>
      </c>
      <c r="W8" s="3" t="s">
        <v>506</v>
      </c>
      <c r="X8" s="3" t="s">
        <v>673</v>
      </c>
      <c r="Y8" s="3" t="s">
        <v>638</v>
      </c>
      <c r="Z8" s="3" t="s">
        <v>610</v>
      </c>
      <c r="AA8" s="3" t="s">
        <v>508</v>
      </c>
      <c r="AB8" s="3" t="s">
        <v>615</v>
      </c>
      <c r="AC8">
        <v>12</v>
      </c>
      <c r="AD8">
        <v>0</v>
      </c>
      <c r="AE8" s="1">
        <v>43205</v>
      </c>
      <c r="AF8">
        <v>0</v>
      </c>
      <c r="AG8" s="1">
        <v>42729</v>
      </c>
      <c r="AH8">
        <v>1213</v>
      </c>
      <c r="AI8">
        <v>994</v>
      </c>
      <c r="AJ8" s="3" t="s">
        <v>506</v>
      </c>
    </row>
    <row r="9" spans="1:36" ht="15">
      <c r="A9" t="str">
        <f t="shared" si="0"/>
        <v>0179</v>
      </c>
      <c r="B9" t="str">
        <f>"0201401938941"</f>
        <v>0201401938941</v>
      </c>
      <c r="C9" t="s">
        <v>64</v>
      </c>
      <c r="D9" t="s">
        <v>2</v>
      </c>
      <c r="E9" t="s">
        <v>8</v>
      </c>
      <c r="F9" t="s">
        <v>65</v>
      </c>
      <c r="G9" t="s">
        <v>31</v>
      </c>
      <c r="H9">
        <v>3.99</v>
      </c>
      <c r="I9">
        <v>204</v>
      </c>
      <c r="J9">
        <v>204</v>
      </c>
      <c r="K9" t="str">
        <f>"9781401938949"</f>
        <v>9781401938949</v>
      </c>
      <c r="L9">
        <v>135</v>
      </c>
      <c r="M9">
        <v>19.95</v>
      </c>
      <c r="N9">
        <v>18</v>
      </c>
      <c r="O9">
        <v>18</v>
      </c>
      <c r="P9">
        <v>7.58087</v>
      </c>
      <c r="Q9" s="1">
        <v>42067</v>
      </c>
      <c r="S9" s="3" t="s">
        <v>64</v>
      </c>
      <c r="T9" s="3" t="s">
        <v>674</v>
      </c>
      <c r="U9" s="3" t="s">
        <v>675</v>
      </c>
      <c r="V9" s="3" t="s">
        <v>506</v>
      </c>
      <c r="W9" s="3" t="s">
        <v>506</v>
      </c>
      <c r="X9" s="3" t="s">
        <v>646</v>
      </c>
      <c r="Y9" s="3" t="s">
        <v>638</v>
      </c>
      <c r="Z9" s="3" t="s">
        <v>610</v>
      </c>
      <c r="AA9" s="3" t="s">
        <v>508</v>
      </c>
      <c r="AB9" s="3" t="s">
        <v>647</v>
      </c>
      <c r="AC9">
        <v>12</v>
      </c>
      <c r="AD9">
        <v>0</v>
      </c>
      <c r="AE9" s="1">
        <v>42351</v>
      </c>
      <c r="AF9">
        <v>0</v>
      </c>
      <c r="AG9" s="1">
        <v>42351</v>
      </c>
      <c r="AH9">
        <v>174</v>
      </c>
      <c r="AI9">
        <v>103</v>
      </c>
      <c r="AJ9" s="3" t="s">
        <v>506</v>
      </c>
    </row>
    <row r="10" spans="1:36" ht="15">
      <c r="A10" t="str">
        <f t="shared" si="0"/>
        <v>0179</v>
      </c>
      <c r="B10" t="str">
        <f>"0201401942764"</f>
        <v>0201401942764</v>
      </c>
      <c r="C10" t="s">
        <v>89</v>
      </c>
      <c r="D10" t="s">
        <v>2</v>
      </c>
      <c r="E10" t="s">
        <v>6</v>
      </c>
      <c r="F10" t="s">
        <v>90</v>
      </c>
      <c r="G10" t="s">
        <v>9</v>
      </c>
      <c r="H10">
        <v>3.99</v>
      </c>
      <c r="I10">
        <v>216</v>
      </c>
      <c r="J10">
        <v>216</v>
      </c>
      <c r="K10" t="str">
        <f>"9781401942762"</f>
        <v>9781401942762</v>
      </c>
      <c r="L10">
        <v>135</v>
      </c>
      <c r="M10">
        <v>16.95</v>
      </c>
      <c r="N10">
        <v>14</v>
      </c>
      <c r="O10">
        <v>14</v>
      </c>
      <c r="P10">
        <v>6.44116</v>
      </c>
      <c r="Q10" s="1">
        <v>42067</v>
      </c>
      <c r="S10" s="3" t="s">
        <v>89</v>
      </c>
      <c r="T10" s="3" t="s">
        <v>676</v>
      </c>
      <c r="U10" s="3" t="s">
        <v>677</v>
      </c>
      <c r="V10" s="3" t="s">
        <v>506</v>
      </c>
      <c r="W10" s="3" t="s">
        <v>506</v>
      </c>
      <c r="X10" s="3" t="s">
        <v>668</v>
      </c>
      <c r="Y10" s="3" t="s">
        <v>638</v>
      </c>
      <c r="Z10" s="3" t="s">
        <v>610</v>
      </c>
      <c r="AA10" s="3" t="s">
        <v>508</v>
      </c>
      <c r="AB10" s="3" t="s">
        <v>678</v>
      </c>
      <c r="AC10">
        <v>24</v>
      </c>
      <c r="AD10">
        <v>2</v>
      </c>
      <c r="AE10" s="1">
        <v>43254</v>
      </c>
      <c r="AF10">
        <v>0</v>
      </c>
      <c r="AG10" s="1">
        <v>42813</v>
      </c>
      <c r="AH10">
        <v>400</v>
      </c>
      <c r="AI10">
        <v>323</v>
      </c>
      <c r="AJ10" s="3" t="s">
        <v>506</v>
      </c>
    </row>
    <row r="11" spans="1:36" ht="15">
      <c r="A11" t="str">
        <f t="shared" si="0"/>
        <v>0179</v>
      </c>
      <c r="B11" t="str">
        <f>"0201401942849"</f>
        <v>0201401942849</v>
      </c>
      <c r="C11" t="s">
        <v>91</v>
      </c>
      <c r="D11" t="s">
        <v>2</v>
      </c>
      <c r="E11" t="s">
        <v>8</v>
      </c>
      <c r="F11" t="s">
        <v>92</v>
      </c>
      <c r="G11" t="s">
        <v>9</v>
      </c>
      <c r="H11">
        <v>4.99</v>
      </c>
      <c r="I11">
        <v>238</v>
      </c>
      <c r="J11">
        <v>238</v>
      </c>
      <c r="K11" t="str">
        <f>"9781401942847"</f>
        <v>9781401942847</v>
      </c>
      <c r="L11">
        <v>135</v>
      </c>
      <c r="M11">
        <v>25.95</v>
      </c>
      <c r="N11">
        <v>174</v>
      </c>
      <c r="O11">
        <v>174</v>
      </c>
      <c r="P11">
        <v>9.86101</v>
      </c>
      <c r="Q11" s="1">
        <v>42150</v>
      </c>
      <c r="S11" s="3" t="s">
        <v>91</v>
      </c>
      <c r="T11" s="3" t="s">
        <v>720</v>
      </c>
      <c r="U11" s="3" t="s">
        <v>721</v>
      </c>
      <c r="V11" s="3" t="s">
        <v>506</v>
      </c>
      <c r="W11" s="3" t="s">
        <v>506</v>
      </c>
      <c r="X11" s="3" t="s">
        <v>722</v>
      </c>
      <c r="Y11" s="3" t="s">
        <v>638</v>
      </c>
      <c r="Z11" s="3" t="s">
        <v>610</v>
      </c>
      <c r="AA11" s="3" t="s">
        <v>508</v>
      </c>
      <c r="AB11" s="3" t="s">
        <v>509</v>
      </c>
      <c r="AC11">
        <v>12</v>
      </c>
      <c r="AD11">
        <v>3</v>
      </c>
      <c r="AE11" s="1">
        <v>43254</v>
      </c>
      <c r="AF11">
        <v>1</v>
      </c>
      <c r="AG11" s="1">
        <v>43254</v>
      </c>
      <c r="AH11">
        <v>2049</v>
      </c>
      <c r="AI11">
        <v>1623</v>
      </c>
      <c r="AJ11" s="3" t="s">
        <v>506</v>
      </c>
    </row>
    <row r="12" spans="1:36" ht="15">
      <c r="A12" t="str">
        <f t="shared" si="0"/>
        <v>0179</v>
      </c>
      <c r="B12" t="str">
        <f>"0201401945116"</f>
        <v>0201401945116</v>
      </c>
      <c r="C12" t="s">
        <v>124</v>
      </c>
      <c r="D12" t="s">
        <v>2</v>
      </c>
      <c r="E12" t="s">
        <v>8</v>
      </c>
      <c r="F12" t="s">
        <v>125</v>
      </c>
      <c r="G12" t="s">
        <v>9</v>
      </c>
      <c r="H12">
        <v>4.99</v>
      </c>
      <c r="I12">
        <v>424</v>
      </c>
      <c r="J12">
        <v>424</v>
      </c>
      <c r="K12" t="str">
        <f>"9781401945114"</f>
        <v>9781401945114</v>
      </c>
      <c r="L12">
        <v>135</v>
      </c>
      <c r="M12">
        <v>24.95</v>
      </c>
      <c r="N12">
        <v>0</v>
      </c>
      <c r="O12">
        <v>0</v>
      </c>
      <c r="P12">
        <v>9.48</v>
      </c>
      <c r="Q12" s="1">
        <v>42150</v>
      </c>
      <c r="S12" s="3" t="s">
        <v>124</v>
      </c>
      <c r="T12" s="3" t="s">
        <v>723</v>
      </c>
      <c r="U12" s="3" t="s">
        <v>724</v>
      </c>
      <c r="V12" s="3" t="s">
        <v>506</v>
      </c>
      <c r="W12" s="3" t="s">
        <v>506</v>
      </c>
      <c r="X12" s="3" t="s">
        <v>725</v>
      </c>
      <c r="Y12" s="3" t="s">
        <v>638</v>
      </c>
      <c r="Z12" s="3" t="s">
        <v>518</v>
      </c>
      <c r="AA12" s="3" t="s">
        <v>508</v>
      </c>
      <c r="AB12" s="3" t="s">
        <v>643</v>
      </c>
      <c r="AC12">
        <v>12</v>
      </c>
      <c r="AD12">
        <v>1</v>
      </c>
      <c r="AE12" s="1">
        <v>43254</v>
      </c>
      <c r="AF12">
        <v>3</v>
      </c>
      <c r="AG12" s="1">
        <v>42687</v>
      </c>
      <c r="AH12">
        <v>3023</v>
      </c>
      <c r="AI12">
        <v>2136</v>
      </c>
      <c r="AJ12" s="3" t="s">
        <v>506</v>
      </c>
    </row>
    <row r="13" spans="1:36" ht="15">
      <c r="A13" t="str">
        <f t="shared" si="0"/>
        <v>0179</v>
      </c>
      <c r="B13" t="str">
        <f>"0201401944232"</f>
        <v>0201401944232</v>
      </c>
      <c r="C13" t="s">
        <v>114</v>
      </c>
      <c r="D13" t="s">
        <v>2</v>
      </c>
      <c r="E13" t="s">
        <v>8</v>
      </c>
      <c r="F13" t="s">
        <v>115</v>
      </c>
      <c r="G13" t="s">
        <v>75</v>
      </c>
      <c r="H13">
        <v>3.99</v>
      </c>
      <c r="I13">
        <v>29</v>
      </c>
      <c r="J13">
        <v>29</v>
      </c>
      <c r="K13" t="str">
        <f>"9781401944230"</f>
        <v>9781401944230</v>
      </c>
      <c r="L13">
        <v>135</v>
      </c>
      <c r="M13">
        <v>19.95</v>
      </c>
      <c r="N13">
        <v>12</v>
      </c>
      <c r="O13">
        <v>12</v>
      </c>
      <c r="P13">
        <v>7.58102</v>
      </c>
      <c r="Q13" s="1">
        <v>42156</v>
      </c>
      <c r="S13" s="3" t="s">
        <v>114</v>
      </c>
      <c r="T13" s="3" t="s">
        <v>726</v>
      </c>
      <c r="U13" s="3" t="s">
        <v>727</v>
      </c>
      <c r="V13" s="3" t="s">
        <v>506</v>
      </c>
      <c r="W13" s="3" t="s">
        <v>506</v>
      </c>
      <c r="X13" s="3" t="s">
        <v>609</v>
      </c>
      <c r="Y13" s="3" t="s">
        <v>638</v>
      </c>
      <c r="Z13" s="3" t="s">
        <v>610</v>
      </c>
      <c r="AA13" s="3" t="s">
        <v>508</v>
      </c>
      <c r="AB13" s="3" t="s">
        <v>647</v>
      </c>
      <c r="AC13">
        <v>12</v>
      </c>
      <c r="AD13">
        <v>2</v>
      </c>
      <c r="AE13" s="1">
        <v>43254</v>
      </c>
      <c r="AF13">
        <v>1</v>
      </c>
      <c r="AG13" s="1">
        <v>43254</v>
      </c>
      <c r="AH13">
        <v>547</v>
      </c>
      <c r="AI13">
        <v>408</v>
      </c>
      <c r="AJ13" s="3" t="s">
        <v>506</v>
      </c>
    </row>
    <row r="14" spans="1:36" ht="15">
      <c r="A14" t="str">
        <f t="shared" si="0"/>
        <v>0179</v>
      </c>
      <c r="B14" t="str">
        <f>"0201401944058"</f>
        <v>0201401944058</v>
      </c>
      <c r="C14" t="s">
        <v>108</v>
      </c>
      <c r="D14" t="s">
        <v>2</v>
      </c>
      <c r="E14" t="s">
        <v>50</v>
      </c>
      <c r="F14" t="s">
        <v>29</v>
      </c>
      <c r="G14" t="s">
        <v>5</v>
      </c>
      <c r="H14">
        <v>7.99</v>
      </c>
      <c r="I14">
        <v>30</v>
      </c>
      <c r="J14">
        <v>30</v>
      </c>
      <c r="K14" t="str">
        <f>"9781401944056"</f>
        <v>9781401944056</v>
      </c>
      <c r="L14">
        <v>135</v>
      </c>
      <c r="M14">
        <v>39.95</v>
      </c>
      <c r="N14">
        <v>15</v>
      </c>
      <c r="O14">
        <v>15</v>
      </c>
      <c r="P14">
        <v>15.18091</v>
      </c>
      <c r="Q14" s="1">
        <v>42156</v>
      </c>
      <c r="S14" s="3" t="s">
        <v>108</v>
      </c>
      <c r="T14" s="3" t="s">
        <v>728</v>
      </c>
      <c r="U14" s="3" t="s">
        <v>729</v>
      </c>
      <c r="V14" s="3" t="s">
        <v>506</v>
      </c>
      <c r="W14" s="3" t="s">
        <v>506</v>
      </c>
      <c r="X14" s="3" t="s">
        <v>574</v>
      </c>
      <c r="Y14" s="3" t="s">
        <v>638</v>
      </c>
      <c r="Z14" s="3" t="s">
        <v>610</v>
      </c>
      <c r="AA14" s="3" t="s">
        <v>508</v>
      </c>
      <c r="AB14" s="3" t="s">
        <v>678</v>
      </c>
      <c r="AC14">
        <v>30</v>
      </c>
      <c r="AD14">
        <v>86</v>
      </c>
      <c r="AE14" s="1">
        <v>43254</v>
      </c>
      <c r="AF14">
        <v>86</v>
      </c>
      <c r="AG14" s="1">
        <v>43254</v>
      </c>
      <c r="AH14">
        <v>1193</v>
      </c>
      <c r="AI14">
        <v>783</v>
      </c>
      <c r="AJ14" s="3" t="s">
        <v>506</v>
      </c>
    </row>
    <row r="15" spans="1:36" ht="15">
      <c r="A15" t="str">
        <f t="shared" si="0"/>
        <v>0179</v>
      </c>
      <c r="B15" t="str">
        <f>"0201401944317"</f>
        <v>0201401944317</v>
      </c>
      <c r="C15" t="s">
        <v>117</v>
      </c>
      <c r="D15" t="s">
        <v>2</v>
      </c>
      <c r="E15" t="s">
        <v>8</v>
      </c>
      <c r="F15" t="s">
        <v>112</v>
      </c>
      <c r="G15" t="s">
        <v>31</v>
      </c>
      <c r="H15">
        <v>4.99</v>
      </c>
      <c r="I15">
        <v>36</v>
      </c>
      <c r="J15">
        <v>36</v>
      </c>
      <c r="K15" t="str">
        <f>"9781401944315"</f>
        <v>9781401944315</v>
      </c>
      <c r="L15">
        <v>135</v>
      </c>
      <c r="M15">
        <v>24.95</v>
      </c>
      <c r="N15">
        <v>6</v>
      </c>
      <c r="O15">
        <v>6</v>
      </c>
      <c r="P15">
        <v>9.48083</v>
      </c>
      <c r="Q15" s="1">
        <v>42156</v>
      </c>
      <c r="S15" s="3" t="s">
        <v>117</v>
      </c>
      <c r="T15" s="3" t="s">
        <v>730</v>
      </c>
      <c r="U15" s="3" t="s">
        <v>731</v>
      </c>
      <c r="V15" s="3" t="s">
        <v>506</v>
      </c>
      <c r="W15" s="3" t="s">
        <v>506</v>
      </c>
      <c r="X15" s="3" t="s">
        <v>646</v>
      </c>
      <c r="Y15" s="3" t="s">
        <v>638</v>
      </c>
      <c r="Z15" s="3" t="s">
        <v>610</v>
      </c>
      <c r="AA15" s="3" t="s">
        <v>508</v>
      </c>
      <c r="AB15" s="3" t="s">
        <v>678</v>
      </c>
      <c r="AC15">
        <v>12</v>
      </c>
      <c r="AD15">
        <v>0</v>
      </c>
      <c r="AE15" s="1">
        <v>43121</v>
      </c>
      <c r="AF15">
        <v>8</v>
      </c>
      <c r="AG15" s="1">
        <v>42155</v>
      </c>
      <c r="AH15">
        <v>1737</v>
      </c>
      <c r="AI15">
        <v>1216</v>
      </c>
      <c r="AJ15" s="3" t="s">
        <v>506</v>
      </c>
    </row>
    <row r="16" spans="1:36" ht="15">
      <c r="A16" t="str">
        <f t="shared" si="0"/>
        <v>0179</v>
      </c>
      <c r="B16" t="str">
        <f>"0201401917236"</f>
        <v>0201401917236</v>
      </c>
      <c r="C16" t="s">
        <v>32</v>
      </c>
      <c r="D16" t="s">
        <v>2</v>
      </c>
      <c r="E16" t="s">
        <v>8</v>
      </c>
      <c r="F16" t="s">
        <v>33</v>
      </c>
      <c r="G16" t="s">
        <v>31</v>
      </c>
      <c r="H16">
        <v>4.99</v>
      </c>
      <c r="I16">
        <v>36</v>
      </c>
      <c r="J16">
        <v>36</v>
      </c>
      <c r="K16" t="str">
        <f>"9781401917234"</f>
        <v>9781401917234</v>
      </c>
      <c r="L16">
        <v>135</v>
      </c>
      <c r="M16">
        <v>26.95</v>
      </c>
      <c r="N16">
        <v>15</v>
      </c>
      <c r="O16">
        <v>15</v>
      </c>
      <c r="P16">
        <v>10.24055</v>
      </c>
      <c r="Q16" s="1">
        <v>42156</v>
      </c>
      <c r="S16" s="3" t="s">
        <v>32</v>
      </c>
      <c r="T16" s="3" t="s">
        <v>732</v>
      </c>
      <c r="U16" s="3" t="s">
        <v>733</v>
      </c>
      <c r="V16" s="3" t="s">
        <v>506</v>
      </c>
      <c r="W16" s="3" t="s">
        <v>506</v>
      </c>
      <c r="X16" s="3" t="s">
        <v>646</v>
      </c>
      <c r="Y16" s="3" t="s">
        <v>638</v>
      </c>
      <c r="Z16" s="3" t="s">
        <v>610</v>
      </c>
      <c r="AA16" s="3" t="s">
        <v>508</v>
      </c>
      <c r="AB16" s="3" t="s">
        <v>647</v>
      </c>
      <c r="AC16">
        <v>12</v>
      </c>
      <c r="AD16">
        <v>8</v>
      </c>
      <c r="AE16" s="1">
        <v>43254</v>
      </c>
      <c r="AF16">
        <v>7</v>
      </c>
      <c r="AG16" s="1">
        <v>43254</v>
      </c>
      <c r="AH16">
        <v>1081</v>
      </c>
      <c r="AI16">
        <v>668</v>
      </c>
      <c r="AJ16" s="3" t="s">
        <v>506</v>
      </c>
    </row>
    <row r="17" spans="1:36" ht="15">
      <c r="A17" t="str">
        <f t="shared" si="0"/>
        <v>0179</v>
      </c>
      <c r="B17" t="str">
        <f>"0201401942092"</f>
        <v>0201401942092</v>
      </c>
      <c r="C17" t="s">
        <v>80</v>
      </c>
      <c r="D17" t="s">
        <v>2</v>
      </c>
      <c r="E17" t="s">
        <v>8</v>
      </c>
      <c r="F17" t="s">
        <v>81</v>
      </c>
      <c r="G17" t="s">
        <v>82</v>
      </c>
      <c r="H17">
        <v>4.99</v>
      </c>
      <c r="I17">
        <v>48</v>
      </c>
      <c r="J17">
        <v>48</v>
      </c>
      <c r="K17" t="str">
        <f>"9781401942090"</f>
        <v>9781401942090</v>
      </c>
      <c r="L17">
        <v>135</v>
      </c>
      <c r="M17">
        <v>27.95</v>
      </c>
      <c r="N17">
        <v>10</v>
      </c>
      <c r="O17">
        <v>10</v>
      </c>
      <c r="P17">
        <v>10.6208</v>
      </c>
      <c r="Q17" s="1">
        <v>42156</v>
      </c>
      <c r="S17" s="3" t="s">
        <v>80</v>
      </c>
      <c r="T17" s="3" t="s">
        <v>734</v>
      </c>
      <c r="U17" s="3" t="s">
        <v>735</v>
      </c>
      <c r="V17" s="3" t="s">
        <v>506</v>
      </c>
      <c r="W17" s="3" t="s">
        <v>506</v>
      </c>
      <c r="X17" s="3" t="s">
        <v>586</v>
      </c>
      <c r="Y17" s="3" t="s">
        <v>638</v>
      </c>
      <c r="Z17" s="3" t="s">
        <v>610</v>
      </c>
      <c r="AA17" s="3" t="s">
        <v>508</v>
      </c>
      <c r="AB17" s="3" t="s">
        <v>647</v>
      </c>
      <c r="AC17">
        <v>12</v>
      </c>
      <c r="AD17">
        <v>2</v>
      </c>
      <c r="AE17" s="1">
        <v>43254</v>
      </c>
      <c r="AF17">
        <v>2</v>
      </c>
      <c r="AG17" s="1">
        <v>43254</v>
      </c>
      <c r="AH17">
        <v>820</v>
      </c>
      <c r="AI17">
        <v>482</v>
      </c>
      <c r="AJ17" s="3" t="s">
        <v>506</v>
      </c>
    </row>
    <row r="18" spans="1:36" ht="15">
      <c r="A18" t="str">
        <f t="shared" si="0"/>
        <v>0179</v>
      </c>
      <c r="B18" t="str">
        <f>"0201401945109"</f>
        <v>0201401945109</v>
      </c>
      <c r="C18" t="s">
        <v>123</v>
      </c>
      <c r="D18" t="s">
        <v>2</v>
      </c>
      <c r="E18" t="s">
        <v>8</v>
      </c>
      <c r="F18" t="s">
        <v>95</v>
      </c>
      <c r="G18" t="s">
        <v>5</v>
      </c>
      <c r="H18">
        <v>3.99</v>
      </c>
      <c r="I18">
        <v>50</v>
      </c>
      <c r="J18">
        <v>50</v>
      </c>
      <c r="K18" t="str">
        <f>"9781401945107"</f>
        <v>9781401945107</v>
      </c>
      <c r="L18">
        <v>135</v>
      </c>
      <c r="M18">
        <v>19.95</v>
      </c>
      <c r="N18">
        <v>2</v>
      </c>
      <c r="O18">
        <v>2</v>
      </c>
      <c r="P18">
        <v>7.58125</v>
      </c>
      <c r="Q18" s="1">
        <v>42156</v>
      </c>
      <c r="S18" s="3" t="s">
        <v>123</v>
      </c>
      <c r="T18" s="3" t="s">
        <v>736</v>
      </c>
      <c r="U18" s="3" t="s">
        <v>737</v>
      </c>
      <c r="V18" s="3" t="s">
        <v>506</v>
      </c>
      <c r="W18" s="3" t="s">
        <v>506</v>
      </c>
      <c r="X18" s="3" t="s">
        <v>738</v>
      </c>
      <c r="Y18" s="3" t="s">
        <v>638</v>
      </c>
      <c r="Z18" s="3" t="s">
        <v>507</v>
      </c>
      <c r="AA18" s="3" t="s">
        <v>508</v>
      </c>
      <c r="AB18" s="3" t="s">
        <v>643</v>
      </c>
      <c r="AC18">
        <v>12</v>
      </c>
      <c r="AD18">
        <v>0</v>
      </c>
      <c r="AE18" s="1">
        <v>43254</v>
      </c>
      <c r="AF18">
        <v>0</v>
      </c>
      <c r="AG18" s="1">
        <v>42750</v>
      </c>
      <c r="AH18">
        <v>778</v>
      </c>
      <c r="AI18">
        <v>491</v>
      </c>
      <c r="AJ18" s="3" t="s">
        <v>506</v>
      </c>
    </row>
    <row r="19" spans="1:36" ht="15">
      <c r="A19" t="str">
        <f t="shared" si="0"/>
        <v>0179</v>
      </c>
      <c r="B19" t="str">
        <f>"0201401941088"</f>
        <v>0201401941088</v>
      </c>
      <c r="C19" t="s">
        <v>71</v>
      </c>
      <c r="D19" t="s">
        <v>2</v>
      </c>
      <c r="E19" t="s">
        <v>8</v>
      </c>
      <c r="F19" t="s">
        <v>72</v>
      </c>
      <c r="G19" t="s">
        <v>31</v>
      </c>
      <c r="H19">
        <v>4.99</v>
      </c>
      <c r="I19">
        <v>74</v>
      </c>
      <c r="J19">
        <v>74</v>
      </c>
      <c r="K19" t="str">
        <f>"9781401941086"</f>
        <v>9781401941086</v>
      </c>
      <c r="L19">
        <v>135</v>
      </c>
      <c r="M19">
        <v>24.95</v>
      </c>
      <c r="N19">
        <v>0</v>
      </c>
      <c r="O19">
        <v>0</v>
      </c>
      <c r="P19">
        <v>9.48118</v>
      </c>
      <c r="Q19" s="1">
        <v>42156</v>
      </c>
      <c r="S19" s="3" t="s">
        <v>71</v>
      </c>
      <c r="T19" s="3" t="s">
        <v>739</v>
      </c>
      <c r="U19" s="3" t="s">
        <v>740</v>
      </c>
      <c r="V19" s="3" t="s">
        <v>506</v>
      </c>
      <c r="W19" s="3" t="s">
        <v>506</v>
      </c>
      <c r="X19" s="3" t="s">
        <v>646</v>
      </c>
      <c r="Y19" s="3" t="s">
        <v>638</v>
      </c>
      <c r="Z19" s="3" t="s">
        <v>507</v>
      </c>
      <c r="AA19" s="3" t="s">
        <v>508</v>
      </c>
      <c r="AB19" s="3" t="s">
        <v>669</v>
      </c>
      <c r="AC19">
        <v>12</v>
      </c>
      <c r="AD19">
        <v>1</v>
      </c>
      <c r="AE19" s="1">
        <v>43254</v>
      </c>
      <c r="AF19">
        <v>1</v>
      </c>
      <c r="AG19" s="1">
        <v>43254</v>
      </c>
      <c r="AH19">
        <v>3427</v>
      </c>
      <c r="AI19">
        <v>2539</v>
      </c>
      <c r="AJ19" s="3" t="s">
        <v>506</v>
      </c>
    </row>
    <row r="20" spans="1:36" ht="15">
      <c r="A20" t="str">
        <f t="shared" si="0"/>
        <v>0179</v>
      </c>
      <c r="B20" t="str">
        <f>"0201401901310"</f>
        <v>0201401901310</v>
      </c>
      <c r="C20" t="s">
        <v>28</v>
      </c>
      <c r="D20" t="s">
        <v>2</v>
      </c>
      <c r="E20" t="s">
        <v>8</v>
      </c>
      <c r="F20" t="s">
        <v>29</v>
      </c>
      <c r="G20" t="s">
        <v>30</v>
      </c>
      <c r="H20">
        <v>3.99</v>
      </c>
      <c r="I20">
        <v>96</v>
      </c>
      <c r="J20">
        <v>96</v>
      </c>
      <c r="K20" t="str">
        <f>"9781401901318"</f>
        <v>9781401901318</v>
      </c>
      <c r="L20">
        <v>135</v>
      </c>
      <c r="M20">
        <v>17.95</v>
      </c>
      <c r="N20">
        <v>12</v>
      </c>
      <c r="O20">
        <v>12</v>
      </c>
      <c r="P20">
        <v>6.82111</v>
      </c>
      <c r="Q20" s="1">
        <v>42156</v>
      </c>
      <c r="S20" s="3" t="s">
        <v>28</v>
      </c>
      <c r="T20" s="3" t="s">
        <v>741</v>
      </c>
      <c r="U20" s="3" t="s">
        <v>742</v>
      </c>
      <c r="V20" s="3" t="s">
        <v>506</v>
      </c>
      <c r="W20" s="3" t="s">
        <v>506</v>
      </c>
      <c r="X20" s="3" t="s">
        <v>673</v>
      </c>
      <c r="Y20" s="3" t="s">
        <v>638</v>
      </c>
      <c r="Z20" s="3" t="s">
        <v>610</v>
      </c>
      <c r="AA20" s="3" t="s">
        <v>508</v>
      </c>
      <c r="AB20" s="3" t="s">
        <v>743</v>
      </c>
      <c r="AC20">
        <v>24</v>
      </c>
      <c r="AD20">
        <v>1</v>
      </c>
      <c r="AE20" s="1">
        <v>43254</v>
      </c>
      <c r="AF20">
        <v>1</v>
      </c>
      <c r="AG20" s="1">
        <v>42575</v>
      </c>
      <c r="AH20">
        <v>33820</v>
      </c>
      <c r="AI20">
        <v>18754</v>
      </c>
      <c r="AJ20" s="3" t="s">
        <v>506</v>
      </c>
    </row>
    <row r="21" spans="1:36" ht="15">
      <c r="A21" t="str">
        <f t="shared" si="0"/>
        <v>0179</v>
      </c>
      <c r="B21" t="str">
        <f>"0201401945680"</f>
        <v>0201401945680</v>
      </c>
      <c r="C21" t="s">
        <v>134</v>
      </c>
      <c r="D21" t="s">
        <v>2</v>
      </c>
      <c r="E21" t="s">
        <v>8</v>
      </c>
      <c r="F21" t="s">
        <v>135</v>
      </c>
      <c r="G21" t="s">
        <v>9</v>
      </c>
      <c r="H21">
        <v>4.99</v>
      </c>
      <c r="I21">
        <v>119</v>
      </c>
      <c r="J21">
        <v>119</v>
      </c>
      <c r="K21" t="str">
        <f>"9781401945688"</f>
        <v>9781401945688</v>
      </c>
      <c r="L21">
        <v>135</v>
      </c>
      <c r="M21">
        <v>25.99</v>
      </c>
      <c r="N21">
        <v>7</v>
      </c>
      <c r="O21">
        <v>7</v>
      </c>
      <c r="P21">
        <v>9.87625</v>
      </c>
      <c r="Q21" s="1">
        <v>42156</v>
      </c>
      <c r="S21" s="3" t="s">
        <v>134</v>
      </c>
      <c r="T21" s="3" t="s">
        <v>744</v>
      </c>
      <c r="U21" s="3" t="s">
        <v>745</v>
      </c>
      <c r="V21" s="3" t="s">
        <v>506</v>
      </c>
      <c r="W21" s="3" t="s">
        <v>506</v>
      </c>
      <c r="X21" s="3" t="s">
        <v>660</v>
      </c>
      <c r="Y21" s="3" t="s">
        <v>638</v>
      </c>
      <c r="Z21" s="3" t="s">
        <v>610</v>
      </c>
      <c r="AA21" s="3" t="s">
        <v>508</v>
      </c>
      <c r="AB21" s="3" t="s">
        <v>509</v>
      </c>
      <c r="AC21">
        <v>12</v>
      </c>
      <c r="AD21">
        <v>0</v>
      </c>
      <c r="AE21" s="1">
        <v>43219</v>
      </c>
      <c r="AF21">
        <v>1</v>
      </c>
      <c r="AG21" s="1">
        <v>42806</v>
      </c>
      <c r="AH21">
        <v>1103</v>
      </c>
      <c r="AI21">
        <v>789</v>
      </c>
      <c r="AJ21" s="3" t="s">
        <v>506</v>
      </c>
    </row>
    <row r="22" spans="1:36" ht="15">
      <c r="A22" t="str">
        <f>"0135"</f>
        <v>0135</v>
      </c>
      <c r="B22" t="str">
        <f>"0221401931759"</f>
        <v>0221401931759</v>
      </c>
      <c r="C22" t="s">
        <v>422</v>
      </c>
      <c r="D22" t="s">
        <v>2</v>
      </c>
      <c r="E22" t="s">
        <v>8</v>
      </c>
      <c r="F22" t="s">
        <v>423</v>
      </c>
      <c r="G22" t="s">
        <v>424</v>
      </c>
      <c r="H22">
        <v>4.99</v>
      </c>
      <c r="I22">
        <v>151</v>
      </c>
      <c r="J22">
        <v>151</v>
      </c>
      <c r="K22" t="str">
        <f>"9781401931759"</f>
        <v>9781401931759</v>
      </c>
      <c r="L22">
        <v>135</v>
      </c>
      <c r="M22">
        <v>24.95</v>
      </c>
      <c r="N22">
        <v>0</v>
      </c>
      <c r="O22">
        <v>0</v>
      </c>
      <c r="P22">
        <v>9.481</v>
      </c>
      <c r="Q22" s="1">
        <v>42156</v>
      </c>
      <c r="S22" s="3" t="s">
        <v>422</v>
      </c>
      <c r="T22" s="3" t="s">
        <v>746</v>
      </c>
      <c r="U22" s="3" t="s">
        <v>747</v>
      </c>
      <c r="V22" s="3" t="s">
        <v>506</v>
      </c>
      <c r="W22" s="3" t="s">
        <v>506</v>
      </c>
      <c r="X22" s="3" t="s">
        <v>748</v>
      </c>
      <c r="Y22" s="3" t="s">
        <v>638</v>
      </c>
      <c r="Z22" s="3" t="s">
        <v>540</v>
      </c>
      <c r="AA22" s="3" t="s">
        <v>508</v>
      </c>
      <c r="AB22" s="3" t="s">
        <v>647</v>
      </c>
      <c r="AC22">
        <v>12</v>
      </c>
      <c r="AD22">
        <v>1</v>
      </c>
      <c r="AE22" s="1">
        <v>42386</v>
      </c>
      <c r="AF22">
        <v>1</v>
      </c>
      <c r="AG22" s="1">
        <v>42386</v>
      </c>
      <c r="AH22">
        <v>114</v>
      </c>
      <c r="AI22">
        <v>67</v>
      </c>
      <c r="AJ22" s="3" t="s">
        <v>506</v>
      </c>
    </row>
    <row r="23" spans="1:36" ht="15">
      <c r="A23" t="str">
        <f aca="true" t="shared" si="1" ref="A23:A54">"0179"</f>
        <v>0179</v>
      </c>
      <c r="B23" t="str">
        <f>"0201401944256"</f>
        <v>0201401944256</v>
      </c>
      <c r="C23" t="s">
        <v>116</v>
      </c>
      <c r="D23" t="s">
        <v>2</v>
      </c>
      <c r="E23" t="s">
        <v>8</v>
      </c>
      <c r="F23" t="s">
        <v>35</v>
      </c>
      <c r="G23" t="s">
        <v>31</v>
      </c>
      <c r="H23">
        <v>5.99</v>
      </c>
      <c r="I23">
        <v>183</v>
      </c>
      <c r="J23">
        <v>183</v>
      </c>
      <c r="K23" t="str">
        <f>"9781401944254"</f>
        <v>9781401944254</v>
      </c>
      <c r="L23">
        <v>135</v>
      </c>
      <c r="M23">
        <v>29.95</v>
      </c>
      <c r="N23">
        <v>13</v>
      </c>
      <c r="O23">
        <v>13</v>
      </c>
      <c r="P23">
        <v>11.38094</v>
      </c>
      <c r="Q23" s="1">
        <v>42156</v>
      </c>
      <c r="S23" s="3" t="s">
        <v>116</v>
      </c>
      <c r="T23" s="3" t="s">
        <v>749</v>
      </c>
      <c r="U23" s="3" t="s">
        <v>506</v>
      </c>
      <c r="V23" s="3" t="s">
        <v>506</v>
      </c>
      <c r="W23" s="3" t="s">
        <v>506</v>
      </c>
      <c r="X23" s="3" t="s">
        <v>646</v>
      </c>
      <c r="Y23" s="3" t="s">
        <v>638</v>
      </c>
      <c r="Z23" s="3" t="s">
        <v>610</v>
      </c>
      <c r="AA23" s="3" t="s">
        <v>508</v>
      </c>
      <c r="AB23" s="3" t="s">
        <v>647</v>
      </c>
      <c r="AC23">
        <v>12</v>
      </c>
      <c r="AD23">
        <v>2</v>
      </c>
      <c r="AE23" s="1">
        <v>43254</v>
      </c>
      <c r="AF23">
        <v>12</v>
      </c>
      <c r="AG23" s="1">
        <v>43100</v>
      </c>
      <c r="AH23">
        <v>2604</v>
      </c>
      <c r="AI23">
        <v>2339</v>
      </c>
      <c r="AJ23" s="3" t="s">
        <v>506</v>
      </c>
    </row>
    <row r="24" spans="1:36" ht="15">
      <c r="A24" t="str">
        <f t="shared" si="1"/>
        <v>0179</v>
      </c>
      <c r="B24" t="str">
        <f>"0201401929239"</f>
        <v>0201401929239</v>
      </c>
      <c r="C24" t="s">
        <v>43</v>
      </c>
      <c r="D24" t="s">
        <v>2</v>
      </c>
      <c r="E24" t="s">
        <v>8</v>
      </c>
      <c r="F24" t="s">
        <v>44</v>
      </c>
      <c r="G24" t="s">
        <v>31</v>
      </c>
      <c r="H24">
        <v>4.99</v>
      </c>
      <c r="I24">
        <v>475</v>
      </c>
      <c r="J24">
        <v>475</v>
      </c>
      <c r="K24" t="str">
        <f>"9781401929237"</f>
        <v>9781401929237</v>
      </c>
      <c r="L24">
        <v>135</v>
      </c>
      <c r="M24">
        <v>24.95</v>
      </c>
      <c r="N24">
        <v>5</v>
      </c>
      <c r="O24">
        <v>5</v>
      </c>
      <c r="P24">
        <v>9.4815</v>
      </c>
      <c r="Q24" s="1">
        <v>42156</v>
      </c>
      <c r="S24" s="3" t="s">
        <v>43</v>
      </c>
      <c r="T24" s="3" t="s">
        <v>750</v>
      </c>
      <c r="U24" s="3" t="s">
        <v>751</v>
      </c>
      <c r="V24" s="3" t="s">
        <v>506</v>
      </c>
      <c r="W24" s="3" t="s">
        <v>506</v>
      </c>
      <c r="X24" s="3" t="s">
        <v>646</v>
      </c>
      <c r="Y24" s="3" t="s">
        <v>638</v>
      </c>
      <c r="Z24" s="3" t="s">
        <v>610</v>
      </c>
      <c r="AA24" s="3" t="s">
        <v>508</v>
      </c>
      <c r="AB24" s="3" t="s">
        <v>678</v>
      </c>
      <c r="AC24">
        <v>12</v>
      </c>
      <c r="AD24">
        <v>1</v>
      </c>
      <c r="AE24" s="1">
        <v>43254</v>
      </c>
      <c r="AF24">
        <v>1</v>
      </c>
      <c r="AG24" s="1">
        <v>42561</v>
      </c>
      <c r="AH24">
        <v>909</v>
      </c>
      <c r="AI24">
        <v>451</v>
      </c>
      <c r="AJ24" s="3" t="s">
        <v>506</v>
      </c>
    </row>
    <row r="25" spans="1:36" ht="15">
      <c r="A25" t="str">
        <f t="shared" si="1"/>
        <v>0179</v>
      </c>
      <c r="B25" t="str">
        <f>"0221401943295"</f>
        <v>0221401943295</v>
      </c>
      <c r="C25" t="s">
        <v>102</v>
      </c>
      <c r="D25" t="s">
        <v>2</v>
      </c>
      <c r="E25" t="s">
        <v>8</v>
      </c>
      <c r="F25" t="s">
        <v>42</v>
      </c>
      <c r="G25" t="s">
        <v>9</v>
      </c>
      <c r="H25">
        <v>5.99</v>
      </c>
      <c r="I25">
        <v>33</v>
      </c>
      <c r="J25">
        <v>33</v>
      </c>
      <c r="K25" s="2" t="str">
        <f>"9781401943301"</f>
        <v>9781401943301</v>
      </c>
      <c r="L25">
        <v>135</v>
      </c>
      <c r="M25">
        <v>27.99</v>
      </c>
      <c r="N25">
        <v>0</v>
      </c>
      <c r="O25">
        <v>0</v>
      </c>
      <c r="P25">
        <v>0</v>
      </c>
      <c r="Q25" s="1">
        <v>42291</v>
      </c>
      <c r="S25" s="3" t="s">
        <v>102</v>
      </c>
      <c r="T25" s="3" t="s">
        <v>804</v>
      </c>
      <c r="U25" s="3" t="s">
        <v>805</v>
      </c>
      <c r="V25" s="3" t="s">
        <v>506</v>
      </c>
      <c r="W25" s="3" t="s">
        <v>506</v>
      </c>
      <c r="X25" s="3" t="s">
        <v>806</v>
      </c>
      <c r="Y25" s="3" t="s">
        <v>638</v>
      </c>
      <c r="Z25" s="3" t="s">
        <v>610</v>
      </c>
      <c r="AA25" s="3" t="s">
        <v>508</v>
      </c>
      <c r="AB25" s="3" t="s">
        <v>807</v>
      </c>
      <c r="AC25">
        <v>24</v>
      </c>
      <c r="AD25">
        <v>23</v>
      </c>
      <c r="AE25" s="1">
        <v>43254</v>
      </c>
      <c r="AF25">
        <v>19</v>
      </c>
      <c r="AG25" s="1">
        <v>43254</v>
      </c>
      <c r="AH25">
        <v>919</v>
      </c>
      <c r="AI25">
        <v>737</v>
      </c>
      <c r="AJ25" s="3" t="s">
        <v>506</v>
      </c>
    </row>
    <row r="26" spans="1:36" ht="15">
      <c r="A26" t="str">
        <f t="shared" si="1"/>
        <v>0179</v>
      </c>
      <c r="B26" t="str">
        <f>"0201401928805"</f>
        <v>0201401928805</v>
      </c>
      <c r="C26" t="s">
        <v>40</v>
      </c>
      <c r="D26" t="s">
        <v>2</v>
      </c>
      <c r="E26" t="s">
        <v>8</v>
      </c>
      <c r="F26" t="s">
        <v>35</v>
      </c>
      <c r="G26" t="s">
        <v>31</v>
      </c>
      <c r="H26">
        <v>3.99</v>
      </c>
      <c r="I26">
        <v>44</v>
      </c>
      <c r="J26">
        <v>44</v>
      </c>
      <c r="K26" t="str">
        <f>"9781401928803"</f>
        <v>9781401928803</v>
      </c>
      <c r="L26">
        <v>135</v>
      </c>
      <c r="M26">
        <v>19.95</v>
      </c>
      <c r="N26">
        <v>31</v>
      </c>
      <c r="O26">
        <v>31</v>
      </c>
      <c r="P26">
        <v>7.58102</v>
      </c>
      <c r="Q26" s="1">
        <v>42291</v>
      </c>
      <c r="S26" s="3" t="s">
        <v>40</v>
      </c>
      <c r="T26" s="3" t="s">
        <v>808</v>
      </c>
      <c r="U26" s="3" t="s">
        <v>809</v>
      </c>
      <c r="V26" s="3" t="s">
        <v>506</v>
      </c>
      <c r="W26" s="3" t="s">
        <v>506</v>
      </c>
      <c r="X26" s="3" t="s">
        <v>646</v>
      </c>
      <c r="Y26" s="3" t="s">
        <v>638</v>
      </c>
      <c r="Z26" s="3" t="s">
        <v>610</v>
      </c>
      <c r="AA26" s="3" t="s">
        <v>508</v>
      </c>
      <c r="AB26" s="3" t="s">
        <v>647</v>
      </c>
      <c r="AC26">
        <v>12</v>
      </c>
      <c r="AD26">
        <v>1</v>
      </c>
      <c r="AE26" s="1">
        <v>43114</v>
      </c>
      <c r="AF26">
        <v>11</v>
      </c>
      <c r="AG26" s="1">
        <v>42155</v>
      </c>
      <c r="AH26">
        <v>3586</v>
      </c>
      <c r="AI26">
        <v>2820</v>
      </c>
      <c r="AJ26" s="3" t="s">
        <v>506</v>
      </c>
    </row>
    <row r="27" spans="1:36" ht="15">
      <c r="A27" t="str">
        <f t="shared" si="1"/>
        <v>0179</v>
      </c>
      <c r="B27" t="str">
        <f>"0201401942276"</f>
        <v>0201401942276</v>
      </c>
      <c r="C27" t="s">
        <v>83</v>
      </c>
      <c r="D27" t="s">
        <v>2</v>
      </c>
      <c r="E27" t="s">
        <v>8</v>
      </c>
      <c r="F27" t="s">
        <v>84</v>
      </c>
      <c r="G27" t="s">
        <v>5</v>
      </c>
      <c r="H27">
        <v>4.99</v>
      </c>
      <c r="I27">
        <v>168</v>
      </c>
      <c r="J27">
        <v>168</v>
      </c>
      <c r="K27" t="str">
        <f>"9781401942274"</f>
        <v>9781401942274</v>
      </c>
      <c r="L27">
        <v>135</v>
      </c>
      <c r="M27">
        <v>24.95</v>
      </c>
      <c r="N27">
        <v>18</v>
      </c>
      <c r="O27">
        <v>18</v>
      </c>
      <c r="P27">
        <v>9.48083</v>
      </c>
      <c r="Q27" s="1">
        <v>42291</v>
      </c>
      <c r="S27" s="3" t="s">
        <v>83</v>
      </c>
      <c r="T27" s="3" t="s">
        <v>810</v>
      </c>
      <c r="U27" s="3" t="s">
        <v>811</v>
      </c>
      <c r="V27" s="3" t="s">
        <v>506</v>
      </c>
      <c r="W27" s="3" t="s">
        <v>506</v>
      </c>
      <c r="X27" s="3" t="s">
        <v>738</v>
      </c>
      <c r="Y27" s="3" t="s">
        <v>638</v>
      </c>
      <c r="Z27" s="3" t="s">
        <v>610</v>
      </c>
      <c r="AA27" s="3" t="s">
        <v>508</v>
      </c>
      <c r="AB27" s="3" t="s">
        <v>509</v>
      </c>
      <c r="AC27">
        <v>12</v>
      </c>
      <c r="AD27">
        <v>1</v>
      </c>
      <c r="AE27" s="1">
        <v>43254</v>
      </c>
      <c r="AF27">
        <v>1</v>
      </c>
      <c r="AG27" s="1">
        <v>43254</v>
      </c>
      <c r="AH27">
        <v>987</v>
      </c>
      <c r="AI27">
        <v>847</v>
      </c>
      <c r="AJ27" s="3" t="s">
        <v>506</v>
      </c>
    </row>
    <row r="28" spans="1:36" ht="15">
      <c r="A28" t="str">
        <f t="shared" si="1"/>
        <v>0179</v>
      </c>
      <c r="B28" t="str">
        <f>"0201401946083"</f>
        <v>0201401946083</v>
      </c>
      <c r="C28" t="s">
        <v>140</v>
      </c>
      <c r="D28" t="s">
        <v>2</v>
      </c>
      <c r="E28" t="s">
        <v>6</v>
      </c>
      <c r="F28" t="s">
        <v>141</v>
      </c>
      <c r="G28" t="s">
        <v>5</v>
      </c>
      <c r="H28">
        <v>3.99</v>
      </c>
      <c r="I28">
        <v>25</v>
      </c>
      <c r="J28">
        <v>25</v>
      </c>
      <c r="K28" t="str">
        <f>"9781401946081"</f>
        <v>9781401946081</v>
      </c>
      <c r="L28">
        <v>135</v>
      </c>
      <c r="M28">
        <v>22.5</v>
      </c>
      <c r="N28">
        <v>43</v>
      </c>
      <c r="O28">
        <v>43</v>
      </c>
      <c r="P28">
        <v>8.55</v>
      </c>
      <c r="Q28" s="1">
        <v>42425</v>
      </c>
      <c r="S28" s="3" t="s">
        <v>140</v>
      </c>
      <c r="T28" s="3" t="s">
        <v>822</v>
      </c>
      <c r="U28" s="3" t="s">
        <v>823</v>
      </c>
      <c r="V28" s="3" t="s">
        <v>506</v>
      </c>
      <c r="W28" s="3" t="s">
        <v>506</v>
      </c>
      <c r="X28" s="3" t="s">
        <v>574</v>
      </c>
      <c r="Y28" s="3" t="s">
        <v>638</v>
      </c>
      <c r="Z28" s="3" t="s">
        <v>610</v>
      </c>
      <c r="AA28" s="3" t="s">
        <v>508</v>
      </c>
      <c r="AB28" s="3" t="s">
        <v>509</v>
      </c>
      <c r="AC28">
        <v>24</v>
      </c>
      <c r="AD28">
        <v>15</v>
      </c>
      <c r="AE28" s="1">
        <v>43254</v>
      </c>
      <c r="AF28">
        <v>15</v>
      </c>
      <c r="AG28" s="1">
        <v>43254</v>
      </c>
      <c r="AH28">
        <v>284</v>
      </c>
      <c r="AI28">
        <v>171</v>
      </c>
      <c r="AJ28" s="3" t="s">
        <v>506</v>
      </c>
    </row>
    <row r="29" spans="1:36" ht="15">
      <c r="A29" t="str">
        <f t="shared" si="1"/>
        <v>0179</v>
      </c>
      <c r="B29" t="str">
        <f>"0201401943365"</f>
        <v>0201401943365</v>
      </c>
      <c r="C29" t="s">
        <v>103</v>
      </c>
      <c r="D29" t="s">
        <v>46</v>
      </c>
      <c r="E29" t="s">
        <v>8</v>
      </c>
      <c r="F29" t="s">
        <v>104</v>
      </c>
      <c r="G29" t="s">
        <v>31</v>
      </c>
      <c r="H29">
        <v>3.99</v>
      </c>
      <c r="I29">
        <v>36</v>
      </c>
      <c r="J29">
        <v>36</v>
      </c>
      <c r="K29" t="str">
        <f>"9781401943363"</f>
        <v>9781401943363</v>
      </c>
      <c r="L29">
        <v>135</v>
      </c>
      <c r="M29">
        <v>16.95</v>
      </c>
      <c r="N29">
        <v>21</v>
      </c>
      <c r="O29">
        <v>21</v>
      </c>
      <c r="P29">
        <v>6.44099</v>
      </c>
      <c r="Q29" s="1">
        <v>42425</v>
      </c>
      <c r="S29" s="3" t="s">
        <v>103</v>
      </c>
      <c r="T29" s="3" t="s">
        <v>824</v>
      </c>
      <c r="U29" s="3" t="s">
        <v>506</v>
      </c>
      <c r="V29" s="3" t="s">
        <v>506</v>
      </c>
      <c r="W29" s="3" t="s">
        <v>506</v>
      </c>
      <c r="X29" s="3" t="s">
        <v>646</v>
      </c>
      <c r="Y29" s="3" t="s">
        <v>638</v>
      </c>
      <c r="Z29" s="3" t="s">
        <v>610</v>
      </c>
      <c r="AA29" s="3" t="s">
        <v>508</v>
      </c>
      <c r="AB29" s="3" t="s">
        <v>647</v>
      </c>
      <c r="AC29">
        <v>24</v>
      </c>
      <c r="AD29">
        <v>2</v>
      </c>
      <c r="AE29" s="1">
        <v>43254</v>
      </c>
      <c r="AF29">
        <v>1</v>
      </c>
      <c r="AG29" s="1">
        <v>42477</v>
      </c>
      <c r="AH29">
        <v>1782</v>
      </c>
      <c r="AI29">
        <v>989</v>
      </c>
      <c r="AJ29" s="3" t="s">
        <v>506</v>
      </c>
    </row>
    <row r="30" spans="1:36" ht="15">
      <c r="A30" t="str">
        <f t="shared" si="1"/>
        <v>0179</v>
      </c>
      <c r="B30" t="str">
        <f>"0201401928089"</f>
        <v>0201401928089</v>
      </c>
      <c r="C30" t="s">
        <v>36</v>
      </c>
      <c r="D30" t="s">
        <v>2</v>
      </c>
      <c r="E30" t="s">
        <v>8</v>
      </c>
      <c r="F30" t="s">
        <v>37</v>
      </c>
      <c r="G30" t="s">
        <v>5</v>
      </c>
      <c r="H30">
        <v>3.99</v>
      </c>
      <c r="I30">
        <v>50</v>
      </c>
      <c r="J30">
        <v>50</v>
      </c>
      <c r="K30" t="str">
        <f>"9781401928087"</f>
        <v>9781401928087</v>
      </c>
      <c r="L30">
        <v>135</v>
      </c>
      <c r="M30">
        <v>22.5</v>
      </c>
      <c r="N30">
        <v>0</v>
      </c>
      <c r="O30">
        <v>0</v>
      </c>
      <c r="P30">
        <v>8.55</v>
      </c>
      <c r="Q30" s="1">
        <v>42425</v>
      </c>
      <c r="S30" s="3" t="s">
        <v>36</v>
      </c>
      <c r="T30" s="3" t="s">
        <v>825</v>
      </c>
      <c r="U30" s="3" t="s">
        <v>826</v>
      </c>
      <c r="V30" s="3" t="s">
        <v>506</v>
      </c>
      <c r="W30" s="3" t="s">
        <v>506</v>
      </c>
      <c r="X30" s="3" t="s">
        <v>574</v>
      </c>
      <c r="Y30" s="3" t="s">
        <v>638</v>
      </c>
      <c r="Z30" s="3" t="s">
        <v>634</v>
      </c>
      <c r="AA30" s="3" t="s">
        <v>508</v>
      </c>
      <c r="AB30" s="3" t="s">
        <v>543</v>
      </c>
      <c r="AC30">
        <v>12</v>
      </c>
      <c r="AD30">
        <v>1</v>
      </c>
      <c r="AE30" s="1">
        <v>41385</v>
      </c>
      <c r="AF30">
        <v>1</v>
      </c>
      <c r="AG30" s="1">
        <v>41385</v>
      </c>
      <c r="AH30">
        <v>63</v>
      </c>
      <c r="AI30">
        <v>32</v>
      </c>
      <c r="AJ30" s="3" t="s">
        <v>506</v>
      </c>
    </row>
    <row r="31" spans="1:36" ht="15">
      <c r="A31" t="str">
        <f t="shared" si="1"/>
        <v>0179</v>
      </c>
      <c r="B31" t="str">
        <f>"0201401943013"</f>
        <v>0201401943013</v>
      </c>
      <c r="C31" t="s">
        <v>96</v>
      </c>
      <c r="D31" t="s">
        <v>2</v>
      </c>
      <c r="E31" t="s">
        <v>8</v>
      </c>
      <c r="F31" t="s">
        <v>97</v>
      </c>
      <c r="G31" t="s">
        <v>9</v>
      </c>
      <c r="H31">
        <v>4.99</v>
      </c>
      <c r="I31">
        <v>55</v>
      </c>
      <c r="J31">
        <v>55</v>
      </c>
      <c r="K31" t="str">
        <f>"9781401943011"</f>
        <v>9781401943011</v>
      </c>
      <c r="L31">
        <v>135</v>
      </c>
      <c r="M31">
        <v>27.95</v>
      </c>
      <c r="N31">
        <v>0</v>
      </c>
      <c r="O31">
        <v>0</v>
      </c>
      <c r="P31">
        <v>10.621</v>
      </c>
      <c r="Q31" s="1">
        <v>42425</v>
      </c>
      <c r="S31" s="3" t="s">
        <v>96</v>
      </c>
      <c r="T31" s="3" t="s">
        <v>827</v>
      </c>
      <c r="U31" s="3" t="s">
        <v>828</v>
      </c>
      <c r="V31" s="3" t="s">
        <v>506</v>
      </c>
      <c r="W31" s="3" t="s">
        <v>506</v>
      </c>
      <c r="X31" s="3" t="s">
        <v>668</v>
      </c>
      <c r="Y31" s="3" t="s">
        <v>638</v>
      </c>
      <c r="Z31" s="3" t="s">
        <v>507</v>
      </c>
      <c r="AA31" s="3" t="s">
        <v>508</v>
      </c>
      <c r="AB31" s="3" t="s">
        <v>678</v>
      </c>
      <c r="AC31">
        <v>12</v>
      </c>
      <c r="AD31">
        <v>0</v>
      </c>
      <c r="AE31" s="1">
        <v>42288</v>
      </c>
      <c r="AF31">
        <v>1</v>
      </c>
      <c r="AG31" s="1">
        <v>42267</v>
      </c>
      <c r="AH31">
        <v>101</v>
      </c>
      <c r="AI31">
        <v>71</v>
      </c>
      <c r="AJ31" s="3" t="s">
        <v>506</v>
      </c>
    </row>
    <row r="32" spans="1:36" ht="15">
      <c r="A32" t="str">
        <f t="shared" si="1"/>
        <v>0179</v>
      </c>
      <c r="B32" t="str">
        <f>"0201401937579"</f>
        <v>0201401937579</v>
      </c>
      <c r="C32" t="s">
        <v>62</v>
      </c>
      <c r="D32" t="s">
        <v>2</v>
      </c>
      <c r="E32" t="s">
        <v>63</v>
      </c>
      <c r="F32" t="s">
        <v>29</v>
      </c>
      <c r="G32" t="s">
        <v>5</v>
      </c>
      <c r="H32">
        <v>5</v>
      </c>
      <c r="I32">
        <v>60</v>
      </c>
      <c r="J32">
        <v>60</v>
      </c>
      <c r="K32" t="str">
        <f>"9781401937577"</f>
        <v>9781401937577</v>
      </c>
      <c r="L32">
        <v>135</v>
      </c>
      <c r="M32">
        <v>27.99</v>
      </c>
      <c r="N32">
        <v>4</v>
      </c>
      <c r="O32">
        <v>4</v>
      </c>
      <c r="P32">
        <v>10.6362</v>
      </c>
      <c r="Q32" s="1">
        <v>42425</v>
      </c>
      <c r="S32" s="3" t="s">
        <v>62</v>
      </c>
      <c r="T32" s="3" t="s">
        <v>829</v>
      </c>
      <c r="U32" s="3" t="s">
        <v>506</v>
      </c>
      <c r="V32" s="3" t="s">
        <v>506</v>
      </c>
      <c r="W32" s="3" t="s">
        <v>506</v>
      </c>
      <c r="X32" s="3" t="s">
        <v>673</v>
      </c>
      <c r="Y32" s="3" t="s">
        <v>638</v>
      </c>
      <c r="Z32" s="3" t="s">
        <v>610</v>
      </c>
      <c r="AA32" s="3" t="s">
        <v>508</v>
      </c>
      <c r="AB32" s="3" t="s">
        <v>830</v>
      </c>
      <c r="AC32">
        <v>30</v>
      </c>
      <c r="AD32">
        <v>1</v>
      </c>
      <c r="AE32" s="1">
        <v>43254</v>
      </c>
      <c r="AH32">
        <v>32</v>
      </c>
      <c r="AI32">
        <v>13</v>
      </c>
      <c r="AJ32" s="3" t="s">
        <v>506</v>
      </c>
    </row>
    <row r="33" spans="1:36" ht="15">
      <c r="A33" t="str">
        <f t="shared" si="1"/>
        <v>0179</v>
      </c>
      <c r="B33" t="str">
        <f>"0201401944775"</f>
        <v>0201401944775</v>
      </c>
      <c r="C33" t="s">
        <v>83</v>
      </c>
      <c r="D33" t="s">
        <v>2</v>
      </c>
      <c r="E33" t="s">
        <v>50</v>
      </c>
      <c r="F33" t="s">
        <v>84</v>
      </c>
      <c r="G33" t="s">
        <v>5</v>
      </c>
      <c r="H33">
        <v>5.99</v>
      </c>
      <c r="I33">
        <v>60</v>
      </c>
      <c r="J33">
        <v>60</v>
      </c>
      <c r="K33" t="str">
        <f>"9781401944773"</f>
        <v>9781401944773</v>
      </c>
      <c r="L33">
        <v>135</v>
      </c>
      <c r="M33">
        <v>29.95</v>
      </c>
      <c r="N33">
        <v>84</v>
      </c>
      <c r="O33">
        <v>84</v>
      </c>
      <c r="P33">
        <v>11.38094</v>
      </c>
      <c r="Q33" s="1">
        <v>42425</v>
      </c>
      <c r="S33" s="3" t="s">
        <v>83</v>
      </c>
      <c r="T33" s="3" t="s">
        <v>810</v>
      </c>
      <c r="U33" s="3" t="s">
        <v>811</v>
      </c>
      <c r="V33" s="3" t="s">
        <v>506</v>
      </c>
      <c r="W33" s="3" t="s">
        <v>506</v>
      </c>
      <c r="X33" s="3" t="s">
        <v>738</v>
      </c>
      <c r="Y33" s="3" t="s">
        <v>638</v>
      </c>
      <c r="Z33" s="3" t="s">
        <v>610</v>
      </c>
      <c r="AA33" s="3" t="s">
        <v>508</v>
      </c>
      <c r="AB33" s="3" t="s">
        <v>509</v>
      </c>
      <c r="AC33">
        <v>30</v>
      </c>
      <c r="AD33">
        <v>2</v>
      </c>
      <c r="AE33" s="1">
        <v>43254</v>
      </c>
      <c r="AF33">
        <v>2</v>
      </c>
      <c r="AG33" s="1">
        <v>43254</v>
      </c>
      <c r="AH33">
        <v>134</v>
      </c>
      <c r="AI33">
        <v>115</v>
      </c>
      <c r="AJ33" s="3" t="s">
        <v>506</v>
      </c>
    </row>
    <row r="34" spans="1:36" ht="15">
      <c r="A34" t="str">
        <f t="shared" si="1"/>
        <v>0179</v>
      </c>
      <c r="B34" t="str">
        <f>"0201401942641"</f>
        <v>0201401942641</v>
      </c>
      <c r="C34" t="s">
        <v>87</v>
      </c>
      <c r="D34" t="s">
        <v>2</v>
      </c>
      <c r="E34" t="s">
        <v>6</v>
      </c>
      <c r="F34" t="s">
        <v>88</v>
      </c>
      <c r="G34" t="s">
        <v>5</v>
      </c>
      <c r="H34">
        <v>2.99</v>
      </c>
      <c r="I34">
        <v>72</v>
      </c>
      <c r="J34">
        <v>72</v>
      </c>
      <c r="K34" t="str">
        <f>"9781401942649"</f>
        <v>9781401942649</v>
      </c>
      <c r="L34">
        <v>135</v>
      </c>
      <c r="M34">
        <v>15.95</v>
      </c>
      <c r="N34">
        <v>25</v>
      </c>
      <c r="O34">
        <v>25</v>
      </c>
      <c r="P34">
        <v>6.06106</v>
      </c>
      <c r="Q34" s="1">
        <v>42425</v>
      </c>
      <c r="S34" s="3" t="s">
        <v>87</v>
      </c>
      <c r="T34" s="3" t="s">
        <v>831</v>
      </c>
      <c r="U34" s="3" t="s">
        <v>832</v>
      </c>
      <c r="V34" s="3" t="s">
        <v>506</v>
      </c>
      <c r="W34" s="3" t="s">
        <v>506</v>
      </c>
      <c r="X34" s="3" t="s">
        <v>574</v>
      </c>
      <c r="Y34" s="3" t="s">
        <v>638</v>
      </c>
      <c r="Z34" s="3" t="s">
        <v>610</v>
      </c>
      <c r="AA34" s="3" t="s">
        <v>508</v>
      </c>
      <c r="AB34" s="3" t="s">
        <v>643</v>
      </c>
      <c r="AC34">
        <v>24</v>
      </c>
      <c r="AD34">
        <v>2</v>
      </c>
      <c r="AE34" s="1">
        <v>43254</v>
      </c>
      <c r="AF34">
        <v>2</v>
      </c>
      <c r="AG34" s="1">
        <v>43254</v>
      </c>
      <c r="AH34">
        <v>221</v>
      </c>
      <c r="AI34">
        <v>110</v>
      </c>
      <c r="AJ34" s="3" t="s">
        <v>506</v>
      </c>
    </row>
    <row r="35" spans="1:36" ht="15">
      <c r="A35" t="str">
        <f t="shared" si="1"/>
        <v>0179</v>
      </c>
      <c r="B35" t="str">
        <f>"0201401945864"</f>
        <v>0201401945864</v>
      </c>
      <c r="C35" t="s">
        <v>114</v>
      </c>
      <c r="D35" t="s">
        <v>46</v>
      </c>
      <c r="E35" t="s">
        <v>6</v>
      </c>
      <c r="F35" t="s">
        <v>115</v>
      </c>
      <c r="G35" t="s">
        <v>75</v>
      </c>
      <c r="H35">
        <v>2.99</v>
      </c>
      <c r="I35">
        <v>96</v>
      </c>
      <c r="J35">
        <v>96</v>
      </c>
      <c r="K35" t="str">
        <f>"9781401945862"</f>
        <v>9781401945862</v>
      </c>
      <c r="L35">
        <v>135</v>
      </c>
      <c r="M35">
        <v>14.95</v>
      </c>
      <c r="N35">
        <v>41</v>
      </c>
      <c r="O35">
        <v>41</v>
      </c>
      <c r="P35">
        <v>5.68091</v>
      </c>
      <c r="Q35" s="1">
        <v>42425</v>
      </c>
      <c r="S35" s="3" t="s">
        <v>114</v>
      </c>
      <c r="T35" s="3" t="s">
        <v>726</v>
      </c>
      <c r="U35" s="3" t="s">
        <v>833</v>
      </c>
      <c r="V35" s="3" t="s">
        <v>506</v>
      </c>
      <c r="W35" s="3" t="s">
        <v>506</v>
      </c>
      <c r="X35" s="3" t="s">
        <v>609</v>
      </c>
      <c r="Y35" s="3" t="s">
        <v>638</v>
      </c>
      <c r="Z35" s="3" t="s">
        <v>610</v>
      </c>
      <c r="AA35" s="3" t="s">
        <v>508</v>
      </c>
      <c r="AB35" s="3" t="s">
        <v>509</v>
      </c>
      <c r="AC35">
        <v>24</v>
      </c>
      <c r="AD35">
        <v>1</v>
      </c>
      <c r="AE35" s="1">
        <v>43254</v>
      </c>
      <c r="AF35">
        <v>1</v>
      </c>
      <c r="AG35" s="1">
        <v>43254</v>
      </c>
      <c r="AH35">
        <v>95</v>
      </c>
      <c r="AI35">
        <v>47</v>
      </c>
      <c r="AJ35" s="3" t="s">
        <v>506</v>
      </c>
    </row>
    <row r="36" spans="1:36" ht="15">
      <c r="A36" t="str">
        <f t="shared" si="1"/>
        <v>0179</v>
      </c>
      <c r="B36" t="str">
        <f>"0201401940616"</f>
        <v>0201401940616</v>
      </c>
      <c r="C36" t="s">
        <v>69</v>
      </c>
      <c r="D36" t="s">
        <v>2</v>
      </c>
      <c r="E36" t="s">
        <v>6</v>
      </c>
      <c r="F36" t="s">
        <v>70</v>
      </c>
      <c r="G36" t="s">
        <v>5</v>
      </c>
      <c r="H36">
        <v>2.99</v>
      </c>
      <c r="I36">
        <v>100</v>
      </c>
      <c r="J36">
        <v>100</v>
      </c>
      <c r="K36" t="str">
        <f>"9781401940614"</f>
        <v>9781401940614</v>
      </c>
      <c r="L36">
        <v>135</v>
      </c>
      <c r="M36">
        <v>15.99</v>
      </c>
      <c r="N36">
        <v>22</v>
      </c>
      <c r="O36">
        <v>22</v>
      </c>
      <c r="P36">
        <v>6.07635</v>
      </c>
      <c r="Q36" s="1">
        <v>42425</v>
      </c>
      <c r="S36" s="3" t="s">
        <v>69</v>
      </c>
      <c r="T36" s="3" t="s">
        <v>834</v>
      </c>
      <c r="U36" s="3" t="s">
        <v>835</v>
      </c>
      <c r="V36" s="3" t="s">
        <v>506</v>
      </c>
      <c r="W36" s="3" t="s">
        <v>506</v>
      </c>
      <c r="X36" s="3" t="s">
        <v>836</v>
      </c>
      <c r="Y36" s="3" t="s">
        <v>638</v>
      </c>
      <c r="Z36" s="3" t="s">
        <v>610</v>
      </c>
      <c r="AA36" s="3" t="s">
        <v>508</v>
      </c>
      <c r="AB36" s="3" t="s">
        <v>509</v>
      </c>
      <c r="AC36">
        <v>24</v>
      </c>
      <c r="AD36">
        <v>1</v>
      </c>
      <c r="AE36" s="1">
        <v>43212</v>
      </c>
      <c r="AF36">
        <v>1</v>
      </c>
      <c r="AG36" s="1">
        <v>43212</v>
      </c>
      <c r="AH36">
        <v>50</v>
      </c>
      <c r="AI36">
        <v>46</v>
      </c>
      <c r="AJ36" s="3" t="s">
        <v>506</v>
      </c>
    </row>
    <row r="37" spans="1:36" ht="15">
      <c r="A37" t="str">
        <f t="shared" si="1"/>
        <v>0179</v>
      </c>
      <c r="B37" t="str">
        <f>"0201401947486"</f>
        <v>0201401947486</v>
      </c>
      <c r="C37" t="s">
        <v>151</v>
      </c>
      <c r="D37" t="s">
        <v>2</v>
      </c>
      <c r="E37" t="s">
        <v>6</v>
      </c>
      <c r="F37" t="s">
        <v>152</v>
      </c>
      <c r="G37" t="s">
        <v>75</v>
      </c>
      <c r="H37">
        <v>3.99</v>
      </c>
      <c r="I37">
        <v>106</v>
      </c>
      <c r="J37">
        <v>106</v>
      </c>
      <c r="K37" t="str">
        <f>"9781401947484"</f>
        <v>9781401947484</v>
      </c>
      <c r="L37">
        <v>135</v>
      </c>
      <c r="M37">
        <v>23.99</v>
      </c>
      <c r="N37">
        <v>8</v>
      </c>
      <c r="O37">
        <v>8</v>
      </c>
      <c r="P37">
        <v>9.11874</v>
      </c>
      <c r="Q37" s="1">
        <v>42425</v>
      </c>
      <c r="S37" s="3" t="s">
        <v>151</v>
      </c>
      <c r="T37" s="3" t="s">
        <v>837</v>
      </c>
      <c r="U37" s="3" t="s">
        <v>838</v>
      </c>
      <c r="V37" s="3" t="s">
        <v>506</v>
      </c>
      <c r="W37" s="3" t="s">
        <v>506</v>
      </c>
      <c r="X37" s="3" t="s">
        <v>609</v>
      </c>
      <c r="Y37" s="3" t="s">
        <v>638</v>
      </c>
      <c r="Z37" s="3" t="s">
        <v>610</v>
      </c>
      <c r="AA37" s="3" t="s">
        <v>508</v>
      </c>
      <c r="AB37" s="3" t="s">
        <v>830</v>
      </c>
      <c r="AC37">
        <v>26</v>
      </c>
      <c r="AD37">
        <v>2</v>
      </c>
      <c r="AE37" s="1">
        <v>43254</v>
      </c>
      <c r="AF37">
        <v>2</v>
      </c>
      <c r="AG37" s="1">
        <v>43254</v>
      </c>
      <c r="AH37">
        <v>64</v>
      </c>
      <c r="AI37">
        <v>34</v>
      </c>
      <c r="AJ37" s="3" t="s">
        <v>506</v>
      </c>
    </row>
    <row r="38" spans="1:36" ht="15">
      <c r="A38" t="str">
        <f t="shared" si="1"/>
        <v>0179</v>
      </c>
      <c r="B38" t="str">
        <f>"0201401941828"</f>
        <v>0201401941828</v>
      </c>
      <c r="C38" t="s">
        <v>78</v>
      </c>
      <c r="D38" t="s">
        <v>2</v>
      </c>
      <c r="E38" t="s">
        <v>6</v>
      </c>
      <c r="F38" t="s">
        <v>79</v>
      </c>
      <c r="G38" t="s">
        <v>5</v>
      </c>
      <c r="H38">
        <v>2.99</v>
      </c>
      <c r="I38">
        <v>107</v>
      </c>
      <c r="J38">
        <v>107</v>
      </c>
      <c r="K38" t="str">
        <f>"9781401941826"</f>
        <v>9781401941826</v>
      </c>
      <c r="L38">
        <v>135</v>
      </c>
      <c r="M38">
        <v>15.95</v>
      </c>
      <c r="N38">
        <v>5</v>
      </c>
      <c r="O38">
        <v>5</v>
      </c>
      <c r="P38">
        <v>6.06</v>
      </c>
      <c r="Q38" s="1">
        <v>42425</v>
      </c>
      <c r="S38" s="3" t="s">
        <v>78</v>
      </c>
      <c r="T38" s="3" t="s">
        <v>839</v>
      </c>
      <c r="U38" s="3" t="s">
        <v>840</v>
      </c>
      <c r="V38" s="3" t="s">
        <v>506</v>
      </c>
      <c r="W38" s="3" t="s">
        <v>506</v>
      </c>
      <c r="X38" s="3" t="s">
        <v>673</v>
      </c>
      <c r="Y38" s="3" t="s">
        <v>638</v>
      </c>
      <c r="Z38" s="3" t="s">
        <v>507</v>
      </c>
      <c r="AA38" s="3" t="s">
        <v>508</v>
      </c>
      <c r="AB38" s="3" t="s">
        <v>643</v>
      </c>
      <c r="AC38">
        <v>24</v>
      </c>
      <c r="AD38">
        <v>2</v>
      </c>
      <c r="AE38" s="1">
        <v>43254</v>
      </c>
      <c r="AF38">
        <v>2</v>
      </c>
      <c r="AG38" s="1">
        <v>43254</v>
      </c>
      <c r="AH38">
        <v>95</v>
      </c>
      <c r="AI38">
        <v>68</v>
      </c>
      <c r="AJ38" s="3" t="s">
        <v>506</v>
      </c>
    </row>
    <row r="39" spans="1:36" ht="15">
      <c r="A39" t="str">
        <f t="shared" si="1"/>
        <v>0179</v>
      </c>
      <c r="B39" t="str">
        <f>"0201401945376"</f>
        <v>0201401945376</v>
      </c>
      <c r="C39" t="s">
        <v>130</v>
      </c>
      <c r="D39" t="s">
        <v>2</v>
      </c>
      <c r="E39" t="s">
        <v>6</v>
      </c>
      <c r="F39" t="s">
        <v>131</v>
      </c>
      <c r="G39" t="s">
        <v>31</v>
      </c>
      <c r="H39">
        <v>3.99</v>
      </c>
      <c r="I39">
        <v>111</v>
      </c>
      <c r="J39">
        <v>111</v>
      </c>
      <c r="K39" t="str">
        <f>"9781401945374"</f>
        <v>9781401945374</v>
      </c>
      <c r="L39">
        <v>135</v>
      </c>
      <c r="M39">
        <v>16.95</v>
      </c>
      <c r="N39">
        <v>11</v>
      </c>
      <c r="O39">
        <v>11</v>
      </c>
      <c r="P39">
        <v>6.44091</v>
      </c>
      <c r="Q39" s="1">
        <v>42425</v>
      </c>
      <c r="S39" s="3" t="s">
        <v>130</v>
      </c>
      <c r="T39" s="3" t="s">
        <v>841</v>
      </c>
      <c r="U39" s="3" t="s">
        <v>842</v>
      </c>
      <c r="V39" s="3" t="s">
        <v>506</v>
      </c>
      <c r="W39" s="3" t="s">
        <v>506</v>
      </c>
      <c r="X39" s="3" t="s">
        <v>843</v>
      </c>
      <c r="Y39" s="3" t="s">
        <v>638</v>
      </c>
      <c r="Z39" s="3" t="s">
        <v>610</v>
      </c>
      <c r="AA39" s="3" t="s">
        <v>508</v>
      </c>
      <c r="AB39" s="3" t="s">
        <v>643</v>
      </c>
      <c r="AC39">
        <v>24</v>
      </c>
      <c r="AD39">
        <v>1</v>
      </c>
      <c r="AE39" s="1">
        <v>43205</v>
      </c>
      <c r="AF39">
        <v>1</v>
      </c>
      <c r="AG39" s="1">
        <v>43205</v>
      </c>
      <c r="AH39">
        <v>61</v>
      </c>
      <c r="AI39">
        <v>49</v>
      </c>
      <c r="AJ39" s="3" t="s">
        <v>506</v>
      </c>
    </row>
    <row r="40" spans="1:36" ht="15">
      <c r="A40" t="str">
        <f t="shared" si="1"/>
        <v>0179</v>
      </c>
      <c r="B40" t="str">
        <f>"0201401943921"</f>
        <v>0201401943921</v>
      </c>
      <c r="C40" t="s">
        <v>106</v>
      </c>
      <c r="D40" t="s">
        <v>2</v>
      </c>
      <c r="E40" t="s">
        <v>6</v>
      </c>
      <c r="F40" t="s">
        <v>107</v>
      </c>
      <c r="G40" t="s">
        <v>5</v>
      </c>
      <c r="H40">
        <v>3.99</v>
      </c>
      <c r="I40">
        <v>112</v>
      </c>
      <c r="J40">
        <v>112</v>
      </c>
      <c r="K40" t="str">
        <f>"9781401943929"</f>
        <v>9781401943929</v>
      </c>
      <c r="L40">
        <v>135</v>
      </c>
      <c r="M40">
        <v>16.95</v>
      </c>
      <c r="N40">
        <v>6</v>
      </c>
      <c r="O40">
        <v>6</v>
      </c>
      <c r="P40">
        <v>6.44</v>
      </c>
      <c r="Q40" s="1">
        <v>42425</v>
      </c>
      <c r="S40" s="3" t="s">
        <v>106</v>
      </c>
      <c r="T40" s="3" t="s">
        <v>844</v>
      </c>
      <c r="U40" s="3" t="s">
        <v>845</v>
      </c>
      <c r="V40" s="3" t="s">
        <v>506</v>
      </c>
      <c r="W40" s="3" t="s">
        <v>506</v>
      </c>
      <c r="X40" s="3" t="s">
        <v>574</v>
      </c>
      <c r="Y40" s="3" t="s">
        <v>638</v>
      </c>
      <c r="Z40" s="3" t="s">
        <v>507</v>
      </c>
      <c r="AA40" s="3" t="s">
        <v>508</v>
      </c>
      <c r="AB40" s="3" t="s">
        <v>643</v>
      </c>
      <c r="AC40">
        <v>24</v>
      </c>
      <c r="AD40">
        <v>1</v>
      </c>
      <c r="AE40" s="1">
        <v>43254</v>
      </c>
      <c r="AF40">
        <v>1</v>
      </c>
      <c r="AG40" s="1">
        <v>43254</v>
      </c>
      <c r="AH40">
        <v>129</v>
      </c>
      <c r="AI40">
        <v>77</v>
      </c>
      <c r="AJ40" s="3" t="s">
        <v>506</v>
      </c>
    </row>
    <row r="41" spans="1:36" ht="15">
      <c r="A41" t="str">
        <f t="shared" si="1"/>
        <v>0179</v>
      </c>
      <c r="B41" t="str">
        <f>"0201401935544"</f>
        <v>0201401935544</v>
      </c>
      <c r="C41" t="s">
        <v>55</v>
      </c>
      <c r="D41" t="s">
        <v>2</v>
      </c>
      <c r="E41" t="s">
        <v>6</v>
      </c>
      <c r="F41" t="s">
        <v>56</v>
      </c>
      <c r="G41" t="s">
        <v>9</v>
      </c>
      <c r="H41">
        <v>2.99</v>
      </c>
      <c r="I41">
        <v>120</v>
      </c>
      <c r="J41">
        <v>120</v>
      </c>
      <c r="K41" t="str">
        <f>"9781401935542"</f>
        <v>9781401935542</v>
      </c>
      <c r="L41">
        <v>135</v>
      </c>
      <c r="M41">
        <v>14.95</v>
      </c>
      <c r="N41">
        <v>29</v>
      </c>
      <c r="O41">
        <v>29</v>
      </c>
      <c r="P41">
        <v>5.68094</v>
      </c>
      <c r="Q41" s="1">
        <v>42425</v>
      </c>
      <c r="S41" s="3" t="s">
        <v>55</v>
      </c>
      <c r="T41" s="3" t="s">
        <v>846</v>
      </c>
      <c r="U41" s="3" t="s">
        <v>847</v>
      </c>
      <c r="V41" s="3" t="s">
        <v>506</v>
      </c>
      <c r="W41" s="3" t="s">
        <v>506</v>
      </c>
      <c r="X41" s="3" t="s">
        <v>660</v>
      </c>
      <c r="Y41" s="3" t="s">
        <v>638</v>
      </c>
      <c r="Z41" s="3" t="s">
        <v>610</v>
      </c>
      <c r="AA41" s="3" t="s">
        <v>508</v>
      </c>
      <c r="AB41" s="3" t="s">
        <v>678</v>
      </c>
      <c r="AC41">
        <v>24</v>
      </c>
      <c r="AD41">
        <v>1</v>
      </c>
      <c r="AE41" s="1">
        <v>43226</v>
      </c>
      <c r="AF41">
        <v>1</v>
      </c>
      <c r="AG41" s="1">
        <v>43226</v>
      </c>
      <c r="AH41">
        <v>107</v>
      </c>
      <c r="AI41">
        <v>66</v>
      </c>
      <c r="AJ41" s="3" t="s">
        <v>506</v>
      </c>
    </row>
    <row r="42" spans="1:36" ht="15">
      <c r="A42" t="str">
        <f t="shared" si="1"/>
        <v>0179</v>
      </c>
      <c r="B42" t="str">
        <f>"0201401943280"</f>
        <v>0201401943280</v>
      </c>
      <c r="C42" t="s">
        <v>100</v>
      </c>
      <c r="D42" t="s">
        <v>2</v>
      </c>
      <c r="E42" t="s">
        <v>6</v>
      </c>
      <c r="F42" t="s">
        <v>101</v>
      </c>
      <c r="G42" t="s">
        <v>5</v>
      </c>
      <c r="H42">
        <v>2.99</v>
      </c>
      <c r="I42">
        <v>135</v>
      </c>
      <c r="J42">
        <v>135</v>
      </c>
      <c r="K42" t="str">
        <f>"9781401943288"</f>
        <v>9781401943288</v>
      </c>
      <c r="L42">
        <v>135</v>
      </c>
      <c r="M42">
        <v>14.99</v>
      </c>
      <c r="N42">
        <v>1</v>
      </c>
      <c r="O42">
        <v>1</v>
      </c>
      <c r="P42">
        <v>5.695</v>
      </c>
      <c r="Q42" s="1">
        <v>42425</v>
      </c>
      <c r="S42" s="3" t="s">
        <v>100</v>
      </c>
      <c r="T42" s="3" t="s">
        <v>848</v>
      </c>
      <c r="U42" s="3" t="s">
        <v>849</v>
      </c>
      <c r="V42" s="3" t="s">
        <v>506</v>
      </c>
      <c r="W42" s="3" t="s">
        <v>506</v>
      </c>
      <c r="X42" s="3" t="s">
        <v>850</v>
      </c>
      <c r="Y42" s="3" t="s">
        <v>638</v>
      </c>
      <c r="Z42" s="3" t="s">
        <v>507</v>
      </c>
      <c r="AA42" s="3" t="s">
        <v>508</v>
      </c>
      <c r="AB42" s="3" t="s">
        <v>509</v>
      </c>
      <c r="AC42">
        <v>24</v>
      </c>
      <c r="AD42">
        <v>1</v>
      </c>
      <c r="AE42" s="1">
        <v>42904</v>
      </c>
      <c r="AF42">
        <v>1</v>
      </c>
      <c r="AG42" s="1">
        <v>42904</v>
      </c>
      <c r="AH42">
        <v>74</v>
      </c>
      <c r="AI42">
        <v>54</v>
      </c>
      <c r="AJ42" s="3" t="s">
        <v>506</v>
      </c>
    </row>
    <row r="43" spans="1:36" ht="15">
      <c r="A43" t="str">
        <f t="shared" si="1"/>
        <v>0179</v>
      </c>
      <c r="B43" t="str">
        <f>"0201401939825"</f>
        <v>0201401939825</v>
      </c>
      <c r="C43" t="s">
        <v>66</v>
      </c>
      <c r="D43" t="s">
        <v>2</v>
      </c>
      <c r="E43" t="s">
        <v>6</v>
      </c>
      <c r="F43" t="s">
        <v>67</v>
      </c>
      <c r="G43" t="s">
        <v>5</v>
      </c>
      <c r="H43">
        <v>2.99</v>
      </c>
      <c r="I43">
        <v>142</v>
      </c>
      <c r="J43">
        <v>142</v>
      </c>
      <c r="K43" t="str">
        <f>"9781401939823"</f>
        <v>9781401939823</v>
      </c>
      <c r="L43">
        <v>135</v>
      </c>
      <c r="M43">
        <v>15.95</v>
      </c>
      <c r="N43">
        <v>2</v>
      </c>
      <c r="O43">
        <v>2</v>
      </c>
      <c r="P43">
        <v>6.06</v>
      </c>
      <c r="Q43" s="1">
        <v>42425</v>
      </c>
      <c r="S43" s="3" t="s">
        <v>851</v>
      </c>
      <c r="T43" s="3" t="s">
        <v>852</v>
      </c>
      <c r="U43" s="3" t="s">
        <v>853</v>
      </c>
      <c r="V43" s="3" t="s">
        <v>506</v>
      </c>
      <c r="W43" s="3" t="s">
        <v>506</v>
      </c>
      <c r="X43" s="3" t="s">
        <v>574</v>
      </c>
      <c r="Y43" s="3" t="s">
        <v>638</v>
      </c>
      <c r="Z43" s="3" t="s">
        <v>507</v>
      </c>
      <c r="AA43" s="3" t="s">
        <v>508</v>
      </c>
      <c r="AB43" s="3" t="s">
        <v>678</v>
      </c>
      <c r="AC43">
        <v>24</v>
      </c>
      <c r="AD43">
        <v>1</v>
      </c>
      <c r="AE43" s="1">
        <v>43254</v>
      </c>
      <c r="AF43">
        <v>1</v>
      </c>
      <c r="AG43" s="1">
        <v>43254</v>
      </c>
      <c r="AH43">
        <v>155</v>
      </c>
      <c r="AI43">
        <v>43</v>
      </c>
      <c r="AJ43" s="3" t="s">
        <v>506</v>
      </c>
    </row>
    <row r="44" spans="1:36" ht="15">
      <c r="A44" t="str">
        <f t="shared" si="1"/>
        <v>0179</v>
      </c>
      <c r="B44" t="str">
        <f>"0201401936275"</f>
        <v>0201401936275</v>
      </c>
      <c r="C44" t="s">
        <v>59</v>
      </c>
      <c r="D44" t="s">
        <v>2</v>
      </c>
      <c r="E44" t="s">
        <v>6</v>
      </c>
      <c r="F44" t="s">
        <v>60</v>
      </c>
      <c r="G44" t="s">
        <v>5</v>
      </c>
      <c r="H44">
        <v>2.99</v>
      </c>
      <c r="I44">
        <v>144</v>
      </c>
      <c r="J44">
        <v>144</v>
      </c>
      <c r="K44" t="str">
        <f>"9781401936273"</f>
        <v>9781401936273</v>
      </c>
      <c r="L44">
        <v>135</v>
      </c>
      <c r="M44">
        <v>14.95</v>
      </c>
      <c r="N44">
        <v>14</v>
      </c>
      <c r="O44">
        <v>14</v>
      </c>
      <c r="P44">
        <v>5.75638</v>
      </c>
      <c r="Q44" s="1">
        <v>42425</v>
      </c>
      <c r="S44" s="3" t="s">
        <v>59</v>
      </c>
      <c r="T44" s="3" t="s">
        <v>854</v>
      </c>
      <c r="U44" s="3" t="s">
        <v>855</v>
      </c>
      <c r="V44" s="3" t="s">
        <v>506</v>
      </c>
      <c r="W44" s="3" t="s">
        <v>506</v>
      </c>
      <c r="X44" s="3" t="s">
        <v>574</v>
      </c>
      <c r="Y44" s="3" t="s">
        <v>638</v>
      </c>
      <c r="Z44" s="3" t="s">
        <v>610</v>
      </c>
      <c r="AA44" s="3" t="s">
        <v>508</v>
      </c>
      <c r="AB44" s="3" t="s">
        <v>643</v>
      </c>
      <c r="AC44">
        <v>24</v>
      </c>
      <c r="AD44">
        <v>35</v>
      </c>
      <c r="AE44" s="1">
        <v>43254</v>
      </c>
      <c r="AF44">
        <v>29</v>
      </c>
      <c r="AG44" s="1">
        <v>43254</v>
      </c>
      <c r="AH44">
        <v>1648</v>
      </c>
      <c r="AI44">
        <v>1064</v>
      </c>
      <c r="AJ44" s="3" t="s">
        <v>506</v>
      </c>
    </row>
    <row r="45" spans="1:36" ht="15">
      <c r="A45" t="str">
        <f t="shared" si="1"/>
        <v>0179</v>
      </c>
      <c r="B45" t="str">
        <f>"0201401945918"</f>
        <v>0201401945918</v>
      </c>
      <c r="C45" t="s">
        <v>136</v>
      </c>
      <c r="D45" t="s">
        <v>2</v>
      </c>
      <c r="E45" t="s">
        <v>6</v>
      </c>
      <c r="F45" t="s">
        <v>137</v>
      </c>
      <c r="G45" t="s">
        <v>75</v>
      </c>
      <c r="H45">
        <v>3.99</v>
      </c>
      <c r="I45">
        <v>144</v>
      </c>
      <c r="J45">
        <v>144</v>
      </c>
      <c r="K45" t="str">
        <f>"9781401945916"</f>
        <v>9781401945916</v>
      </c>
      <c r="L45">
        <v>135</v>
      </c>
      <c r="M45">
        <v>16.95</v>
      </c>
      <c r="N45">
        <v>4</v>
      </c>
      <c r="O45">
        <v>4</v>
      </c>
      <c r="P45">
        <v>6.44125</v>
      </c>
      <c r="Q45" s="1">
        <v>42425</v>
      </c>
      <c r="S45" s="3" t="s">
        <v>136</v>
      </c>
      <c r="T45" s="3" t="s">
        <v>856</v>
      </c>
      <c r="U45" s="3" t="s">
        <v>857</v>
      </c>
      <c r="V45" s="3" t="s">
        <v>506</v>
      </c>
      <c r="W45" s="3" t="s">
        <v>506</v>
      </c>
      <c r="X45" s="3" t="s">
        <v>609</v>
      </c>
      <c r="Y45" s="3" t="s">
        <v>638</v>
      </c>
      <c r="Z45" s="3" t="s">
        <v>507</v>
      </c>
      <c r="AA45" s="3" t="s">
        <v>508</v>
      </c>
      <c r="AB45" s="3" t="s">
        <v>509</v>
      </c>
      <c r="AC45">
        <v>24</v>
      </c>
      <c r="AD45">
        <v>4</v>
      </c>
      <c r="AE45" s="1">
        <v>43254</v>
      </c>
      <c r="AF45">
        <v>2</v>
      </c>
      <c r="AG45" s="1">
        <v>43254</v>
      </c>
      <c r="AH45">
        <v>132</v>
      </c>
      <c r="AI45">
        <v>115</v>
      </c>
      <c r="AJ45" s="3" t="s">
        <v>506</v>
      </c>
    </row>
    <row r="46" spans="1:36" ht="15">
      <c r="A46" t="str">
        <f t="shared" si="1"/>
        <v>0179</v>
      </c>
      <c r="B46" t="str">
        <f>"0201401949602"</f>
        <v>0201401949602</v>
      </c>
      <c r="C46" t="s">
        <v>177</v>
      </c>
      <c r="D46" t="s">
        <v>2</v>
      </c>
      <c r="E46" t="s">
        <v>6</v>
      </c>
      <c r="F46" t="s">
        <v>47</v>
      </c>
      <c r="G46" t="s">
        <v>31</v>
      </c>
      <c r="H46">
        <v>4.99</v>
      </c>
      <c r="I46">
        <v>193</v>
      </c>
      <c r="J46">
        <v>193</v>
      </c>
      <c r="K46" t="str">
        <f>"9781401949600"</f>
        <v>9781401949600</v>
      </c>
      <c r="L46">
        <v>135</v>
      </c>
      <c r="M46">
        <v>27.99</v>
      </c>
      <c r="N46">
        <v>0</v>
      </c>
      <c r="O46">
        <v>0</v>
      </c>
      <c r="P46">
        <v>10.6362</v>
      </c>
      <c r="Q46" s="1">
        <v>42425</v>
      </c>
      <c r="S46" s="3" t="s">
        <v>177</v>
      </c>
      <c r="T46" s="3" t="s">
        <v>858</v>
      </c>
      <c r="U46" s="3" t="s">
        <v>859</v>
      </c>
      <c r="V46" s="3" t="s">
        <v>506</v>
      </c>
      <c r="W46" s="3" t="s">
        <v>506</v>
      </c>
      <c r="X46" s="3" t="s">
        <v>646</v>
      </c>
      <c r="Y46" s="3" t="s">
        <v>638</v>
      </c>
      <c r="Z46" s="3" t="s">
        <v>507</v>
      </c>
      <c r="AA46" s="3" t="s">
        <v>508</v>
      </c>
      <c r="AB46" s="3" t="s">
        <v>807</v>
      </c>
      <c r="AC46">
        <v>20</v>
      </c>
      <c r="AD46">
        <v>0</v>
      </c>
      <c r="AE46" s="1">
        <v>43240</v>
      </c>
      <c r="AH46">
        <v>5</v>
      </c>
      <c r="AI46">
        <v>2</v>
      </c>
      <c r="AJ46" s="3" t="s">
        <v>506</v>
      </c>
    </row>
    <row r="47" spans="1:36" ht="15">
      <c r="A47" t="str">
        <f t="shared" si="1"/>
        <v>0179</v>
      </c>
      <c r="B47" t="str">
        <f>"0201401945567"</f>
        <v>0201401945567</v>
      </c>
      <c r="C47" t="s">
        <v>132</v>
      </c>
      <c r="D47" t="s">
        <v>2</v>
      </c>
      <c r="E47" t="s">
        <v>8</v>
      </c>
      <c r="F47" t="s">
        <v>133</v>
      </c>
      <c r="G47" t="s">
        <v>31</v>
      </c>
      <c r="H47">
        <v>4.99</v>
      </c>
      <c r="I47">
        <v>240</v>
      </c>
      <c r="J47">
        <v>240</v>
      </c>
      <c r="K47" t="str">
        <f>"9781401945565"</f>
        <v>9781401945565</v>
      </c>
      <c r="L47">
        <v>135</v>
      </c>
      <c r="M47">
        <v>24.95</v>
      </c>
      <c r="N47">
        <v>279</v>
      </c>
      <c r="O47">
        <v>279</v>
      </c>
      <c r="P47">
        <v>9.48093</v>
      </c>
      <c r="Q47" s="1">
        <v>42425</v>
      </c>
      <c r="S47" s="3" t="s">
        <v>132</v>
      </c>
      <c r="T47" s="3" t="s">
        <v>860</v>
      </c>
      <c r="U47" s="3" t="s">
        <v>506</v>
      </c>
      <c r="V47" s="3" t="s">
        <v>506</v>
      </c>
      <c r="W47" s="3" t="s">
        <v>506</v>
      </c>
      <c r="X47" s="3" t="s">
        <v>646</v>
      </c>
      <c r="Y47" s="3" t="s">
        <v>638</v>
      </c>
      <c r="Z47" s="3" t="s">
        <v>610</v>
      </c>
      <c r="AA47" s="3" t="s">
        <v>508</v>
      </c>
      <c r="AB47" s="3" t="s">
        <v>509</v>
      </c>
      <c r="AC47">
        <v>12</v>
      </c>
      <c r="AD47">
        <v>39</v>
      </c>
      <c r="AE47" s="1">
        <v>43254</v>
      </c>
      <c r="AF47">
        <v>39</v>
      </c>
      <c r="AG47" s="1">
        <v>43254</v>
      </c>
      <c r="AH47">
        <v>2484</v>
      </c>
      <c r="AI47">
        <v>1956</v>
      </c>
      <c r="AJ47" s="3" t="s">
        <v>506</v>
      </c>
    </row>
    <row r="48" spans="1:36" ht="15">
      <c r="A48" t="str">
        <f t="shared" si="1"/>
        <v>0179</v>
      </c>
      <c r="B48" t="str">
        <f>"0201401946717"</f>
        <v>0201401946717</v>
      </c>
      <c r="C48" t="s">
        <v>148</v>
      </c>
      <c r="D48" t="s">
        <v>2</v>
      </c>
      <c r="E48" t="s">
        <v>6</v>
      </c>
      <c r="F48" t="s">
        <v>42</v>
      </c>
      <c r="G48" t="s">
        <v>9</v>
      </c>
      <c r="H48">
        <v>3.99</v>
      </c>
      <c r="I48">
        <v>263</v>
      </c>
      <c r="J48">
        <v>263</v>
      </c>
      <c r="K48" t="str">
        <f>"9781401946715"</f>
        <v>9781401946715</v>
      </c>
      <c r="L48">
        <v>135</v>
      </c>
      <c r="M48">
        <v>23.99</v>
      </c>
      <c r="N48">
        <v>28</v>
      </c>
      <c r="O48">
        <v>28</v>
      </c>
      <c r="P48">
        <v>9.11697</v>
      </c>
      <c r="Q48" s="1">
        <v>42425</v>
      </c>
      <c r="S48" s="3" t="s">
        <v>861</v>
      </c>
      <c r="T48" s="3" t="s">
        <v>862</v>
      </c>
      <c r="U48" s="3" t="s">
        <v>863</v>
      </c>
      <c r="V48" s="3" t="s">
        <v>506</v>
      </c>
      <c r="W48" s="3" t="s">
        <v>506</v>
      </c>
      <c r="X48" s="3" t="s">
        <v>660</v>
      </c>
      <c r="Y48" s="3" t="s">
        <v>638</v>
      </c>
      <c r="Z48" s="3" t="s">
        <v>610</v>
      </c>
      <c r="AA48" s="3" t="s">
        <v>508</v>
      </c>
      <c r="AB48" s="3" t="s">
        <v>830</v>
      </c>
      <c r="AC48">
        <v>24</v>
      </c>
      <c r="AD48">
        <v>31</v>
      </c>
      <c r="AE48" s="1">
        <v>43254</v>
      </c>
      <c r="AF48">
        <v>29</v>
      </c>
      <c r="AG48" s="1">
        <v>43254</v>
      </c>
      <c r="AH48">
        <v>649</v>
      </c>
      <c r="AI48">
        <v>506</v>
      </c>
      <c r="AJ48" s="3" t="s">
        <v>506</v>
      </c>
    </row>
    <row r="49" spans="1:36" ht="15">
      <c r="A49" t="str">
        <f t="shared" si="1"/>
        <v>0179</v>
      </c>
      <c r="B49" t="str">
        <f>"0201401944072"</f>
        <v>0201401944072</v>
      </c>
      <c r="C49" t="s">
        <v>109</v>
      </c>
      <c r="D49" t="s">
        <v>2</v>
      </c>
      <c r="E49" t="s">
        <v>6</v>
      </c>
      <c r="F49" t="s">
        <v>110</v>
      </c>
      <c r="G49" t="s">
        <v>5</v>
      </c>
      <c r="H49">
        <v>3.99</v>
      </c>
      <c r="I49">
        <v>336</v>
      </c>
      <c r="J49">
        <v>336</v>
      </c>
      <c r="K49" t="str">
        <f>"9781401944070"</f>
        <v>9781401944070</v>
      </c>
      <c r="L49">
        <v>135</v>
      </c>
      <c r="M49">
        <v>22.5</v>
      </c>
      <c r="N49">
        <v>115</v>
      </c>
      <c r="O49">
        <v>115</v>
      </c>
      <c r="P49">
        <v>8.55</v>
      </c>
      <c r="Q49" s="1">
        <v>42425</v>
      </c>
      <c r="S49" s="3" t="s">
        <v>109</v>
      </c>
      <c r="T49" s="3" t="s">
        <v>864</v>
      </c>
      <c r="U49" s="3" t="s">
        <v>865</v>
      </c>
      <c r="V49" s="3" t="s">
        <v>506</v>
      </c>
      <c r="W49" s="3" t="s">
        <v>506</v>
      </c>
      <c r="X49" s="3" t="s">
        <v>574</v>
      </c>
      <c r="Y49" s="3" t="s">
        <v>638</v>
      </c>
      <c r="Z49" s="3" t="s">
        <v>610</v>
      </c>
      <c r="AA49" s="3" t="s">
        <v>508</v>
      </c>
      <c r="AB49" s="3" t="s">
        <v>807</v>
      </c>
      <c r="AC49">
        <v>24</v>
      </c>
      <c r="AD49">
        <v>35</v>
      </c>
      <c r="AE49" s="1">
        <v>43254</v>
      </c>
      <c r="AF49">
        <v>35</v>
      </c>
      <c r="AG49" s="1">
        <v>43254</v>
      </c>
      <c r="AH49">
        <v>119</v>
      </c>
      <c r="AI49">
        <v>48</v>
      </c>
      <c r="AJ49" s="3" t="s">
        <v>506</v>
      </c>
    </row>
    <row r="50" spans="1:36" ht="15">
      <c r="A50" t="str">
        <f t="shared" si="1"/>
        <v>0179</v>
      </c>
      <c r="B50" t="str">
        <f>"0201401942979"</f>
        <v>0201401942979</v>
      </c>
      <c r="C50" t="s">
        <v>94</v>
      </c>
      <c r="D50" t="s">
        <v>2</v>
      </c>
      <c r="E50" t="s">
        <v>63</v>
      </c>
      <c r="F50" t="s">
        <v>95</v>
      </c>
      <c r="G50" t="s">
        <v>5</v>
      </c>
      <c r="H50">
        <v>4.99</v>
      </c>
      <c r="I50">
        <v>371</v>
      </c>
      <c r="J50">
        <v>371</v>
      </c>
      <c r="K50" t="str">
        <f>"9781401942977"</f>
        <v>9781401942977</v>
      </c>
      <c r="L50">
        <v>135</v>
      </c>
      <c r="M50">
        <v>27.95</v>
      </c>
      <c r="N50">
        <v>3</v>
      </c>
      <c r="O50">
        <v>3</v>
      </c>
      <c r="P50">
        <v>10.621</v>
      </c>
      <c r="Q50" s="1">
        <v>42425</v>
      </c>
      <c r="S50" s="3" t="s">
        <v>94</v>
      </c>
      <c r="T50" s="3" t="s">
        <v>866</v>
      </c>
      <c r="U50" s="3" t="s">
        <v>867</v>
      </c>
      <c r="V50" s="3" t="s">
        <v>506</v>
      </c>
      <c r="W50" s="3" t="s">
        <v>506</v>
      </c>
      <c r="X50" s="3" t="s">
        <v>574</v>
      </c>
      <c r="Y50" s="3" t="s">
        <v>638</v>
      </c>
      <c r="Z50" s="3" t="s">
        <v>610</v>
      </c>
      <c r="AA50" s="3" t="s">
        <v>508</v>
      </c>
      <c r="AB50" s="3" t="s">
        <v>868</v>
      </c>
      <c r="AC50">
        <v>30</v>
      </c>
      <c r="AD50">
        <v>1</v>
      </c>
      <c r="AE50" s="1">
        <v>43240</v>
      </c>
      <c r="AH50">
        <v>24</v>
      </c>
      <c r="AI50">
        <v>5</v>
      </c>
      <c r="AJ50" s="3" t="s">
        <v>506</v>
      </c>
    </row>
    <row r="51" spans="1:36" ht="15">
      <c r="A51" t="str">
        <f t="shared" si="1"/>
        <v>0179</v>
      </c>
      <c r="B51" t="str">
        <f>"0201401945246"</f>
        <v>0201401945246</v>
      </c>
      <c r="C51" t="s">
        <v>128</v>
      </c>
      <c r="D51" t="s">
        <v>2</v>
      </c>
      <c r="E51" t="s">
        <v>8</v>
      </c>
      <c r="F51" t="s">
        <v>129</v>
      </c>
      <c r="G51" t="s">
        <v>9</v>
      </c>
      <c r="H51">
        <v>5.99</v>
      </c>
      <c r="I51">
        <v>599</v>
      </c>
      <c r="J51">
        <v>599</v>
      </c>
      <c r="K51" t="str">
        <f>"9781401945244"</f>
        <v>9781401945244</v>
      </c>
      <c r="L51">
        <v>135</v>
      </c>
      <c r="M51">
        <v>36.99</v>
      </c>
      <c r="N51">
        <v>446</v>
      </c>
      <c r="O51">
        <v>446</v>
      </c>
      <c r="P51">
        <v>14.05635</v>
      </c>
      <c r="Q51" s="1">
        <v>42425</v>
      </c>
      <c r="S51" s="3" t="s">
        <v>128</v>
      </c>
      <c r="T51" s="3" t="s">
        <v>869</v>
      </c>
      <c r="U51" s="3" t="s">
        <v>870</v>
      </c>
      <c r="V51" s="3" t="s">
        <v>506</v>
      </c>
      <c r="W51" s="3" t="s">
        <v>506</v>
      </c>
      <c r="X51" s="3" t="s">
        <v>871</v>
      </c>
      <c r="Y51" s="3" t="s">
        <v>638</v>
      </c>
      <c r="Z51" s="3" t="s">
        <v>610</v>
      </c>
      <c r="AA51" s="3" t="s">
        <v>508</v>
      </c>
      <c r="AB51" s="3" t="s">
        <v>830</v>
      </c>
      <c r="AC51">
        <v>12</v>
      </c>
      <c r="AD51">
        <v>35</v>
      </c>
      <c r="AE51" s="1">
        <v>43254</v>
      </c>
      <c r="AF51">
        <v>31</v>
      </c>
      <c r="AG51" s="1">
        <v>43254</v>
      </c>
      <c r="AH51">
        <v>1946</v>
      </c>
      <c r="AI51">
        <v>1517</v>
      </c>
      <c r="AJ51" s="3" t="s">
        <v>506</v>
      </c>
    </row>
    <row r="52" spans="1:36" ht="15">
      <c r="A52" t="str">
        <f t="shared" si="1"/>
        <v>0179</v>
      </c>
      <c r="B52" t="str">
        <f>"0201401947226"</f>
        <v>0201401947226</v>
      </c>
      <c r="C52" t="s">
        <v>150</v>
      </c>
      <c r="D52" t="s">
        <v>2</v>
      </c>
      <c r="E52" t="s">
        <v>8</v>
      </c>
      <c r="F52" t="s">
        <v>42</v>
      </c>
      <c r="G52" t="s">
        <v>9</v>
      </c>
      <c r="H52">
        <v>5.99</v>
      </c>
      <c r="I52">
        <v>696</v>
      </c>
      <c r="J52">
        <v>696</v>
      </c>
      <c r="K52" t="str">
        <f>"9781401947224"</f>
        <v>9781401947224</v>
      </c>
      <c r="L52">
        <v>135</v>
      </c>
      <c r="M52">
        <v>34.99</v>
      </c>
      <c r="N52">
        <v>72</v>
      </c>
      <c r="O52">
        <v>72</v>
      </c>
      <c r="P52">
        <v>13.29634</v>
      </c>
      <c r="Q52" s="1">
        <v>42425</v>
      </c>
      <c r="S52" s="3" t="s">
        <v>872</v>
      </c>
      <c r="T52" s="3" t="s">
        <v>873</v>
      </c>
      <c r="U52" s="3" t="s">
        <v>874</v>
      </c>
      <c r="V52" s="3" t="s">
        <v>506</v>
      </c>
      <c r="W52" s="3" t="s">
        <v>506</v>
      </c>
      <c r="X52" s="3" t="s">
        <v>660</v>
      </c>
      <c r="Y52" s="3" t="s">
        <v>638</v>
      </c>
      <c r="Z52" s="3" t="s">
        <v>610</v>
      </c>
      <c r="AA52" s="3" t="s">
        <v>508</v>
      </c>
      <c r="AB52" s="3" t="s">
        <v>830</v>
      </c>
      <c r="AC52">
        <v>12</v>
      </c>
      <c r="AD52">
        <v>1</v>
      </c>
      <c r="AE52" s="1">
        <v>43254</v>
      </c>
      <c r="AF52">
        <v>1</v>
      </c>
      <c r="AG52" s="1">
        <v>43254</v>
      </c>
      <c r="AH52">
        <v>577</v>
      </c>
      <c r="AI52">
        <v>494</v>
      </c>
      <c r="AJ52" s="3" t="s">
        <v>506</v>
      </c>
    </row>
    <row r="53" spans="1:36" ht="15">
      <c r="A53" t="str">
        <f t="shared" si="1"/>
        <v>0179</v>
      </c>
      <c r="B53" t="str">
        <f>"0221401944506"</f>
        <v>0221401944506</v>
      </c>
      <c r="C53" t="s">
        <v>435</v>
      </c>
      <c r="D53" t="s">
        <v>2</v>
      </c>
      <c r="E53" t="s">
        <v>8</v>
      </c>
      <c r="F53" t="s">
        <v>436</v>
      </c>
      <c r="G53" t="s">
        <v>5</v>
      </c>
      <c r="H53">
        <v>5.99</v>
      </c>
      <c r="I53">
        <v>1039</v>
      </c>
      <c r="J53">
        <v>1039</v>
      </c>
      <c r="K53" t="str">
        <f>"9781401944506"</f>
        <v>9781401944506</v>
      </c>
      <c r="L53">
        <v>135</v>
      </c>
      <c r="M53">
        <v>34.99</v>
      </c>
      <c r="N53">
        <v>76</v>
      </c>
      <c r="O53">
        <v>76</v>
      </c>
      <c r="P53">
        <v>13.29662</v>
      </c>
      <c r="Q53" s="1">
        <v>42844</v>
      </c>
      <c r="S53" s="3" t="s">
        <v>435</v>
      </c>
      <c r="T53" s="3" t="s">
        <v>1028</v>
      </c>
      <c r="U53" s="3" t="s">
        <v>1029</v>
      </c>
      <c r="V53" s="3" t="s">
        <v>506</v>
      </c>
      <c r="W53" s="3" t="s">
        <v>506</v>
      </c>
      <c r="X53" s="3" t="s">
        <v>673</v>
      </c>
      <c r="Y53" s="3" t="s">
        <v>638</v>
      </c>
      <c r="Z53" s="3" t="s">
        <v>507</v>
      </c>
      <c r="AA53" s="3" t="s">
        <v>508</v>
      </c>
      <c r="AB53" s="3" t="s">
        <v>868</v>
      </c>
      <c r="AC53">
        <v>12</v>
      </c>
      <c r="AD53">
        <v>4</v>
      </c>
      <c r="AE53" s="1">
        <v>43254</v>
      </c>
      <c r="AF53">
        <v>1</v>
      </c>
      <c r="AG53" s="1">
        <v>43191</v>
      </c>
      <c r="AH53">
        <v>118</v>
      </c>
      <c r="AI53">
        <v>88</v>
      </c>
      <c r="AJ53" s="3" t="s">
        <v>506</v>
      </c>
    </row>
    <row r="54" spans="1:36" ht="15">
      <c r="A54" t="str">
        <f t="shared" si="1"/>
        <v>0179</v>
      </c>
      <c r="B54" t="str">
        <f>"0201401936220"</f>
        <v>0201401936220</v>
      </c>
      <c r="C54" t="s">
        <v>57</v>
      </c>
      <c r="D54" t="s">
        <v>46</v>
      </c>
      <c r="E54" t="s">
        <v>6</v>
      </c>
      <c r="F54" t="s">
        <v>58</v>
      </c>
      <c r="G54" t="s">
        <v>5</v>
      </c>
      <c r="H54">
        <v>2.99</v>
      </c>
      <c r="I54">
        <v>19</v>
      </c>
      <c r="J54">
        <v>19</v>
      </c>
      <c r="K54" t="str">
        <f>"9781401936228"</f>
        <v>9781401936228</v>
      </c>
      <c r="L54">
        <v>135</v>
      </c>
      <c r="M54">
        <v>15.95</v>
      </c>
      <c r="N54">
        <v>5</v>
      </c>
      <c r="O54">
        <v>5</v>
      </c>
      <c r="P54">
        <v>6.061</v>
      </c>
      <c r="Q54" s="1">
        <v>42846</v>
      </c>
      <c r="S54" s="3" t="s">
        <v>57</v>
      </c>
      <c r="T54" s="3" t="s">
        <v>1030</v>
      </c>
      <c r="U54" s="3" t="s">
        <v>1031</v>
      </c>
      <c r="V54" s="3" t="s">
        <v>506</v>
      </c>
      <c r="W54" s="3" t="s">
        <v>506</v>
      </c>
      <c r="X54" s="3" t="s">
        <v>640</v>
      </c>
      <c r="Y54" s="3" t="s">
        <v>638</v>
      </c>
      <c r="Z54" s="3" t="s">
        <v>610</v>
      </c>
      <c r="AA54" s="3" t="s">
        <v>508</v>
      </c>
      <c r="AB54" s="3" t="s">
        <v>669</v>
      </c>
      <c r="AC54">
        <v>24</v>
      </c>
      <c r="AD54">
        <v>1</v>
      </c>
      <c r="AE54" s="1">
        <v>43254</v>
      </c>
      <c r="AF54">
        <v>1</v>
      </c>
      <c r="AG54" s="1">
        <v>42302</v>
      </c>
      <c r="AH54">
        <v>264</v>
      </c>
      <c r="AI54">
        <v>165</v>
      </c>
      <c r="AJ54" s="3" t="s">
        <v>506</v>
      </c>
    </row>
    <row r="55" spans="1:36" ht="15">
      <c r="A55" t="str">
        <f aca="true" t="shared" si="2" ref="A55:A86">"0179"</f>
        <v>0179</v>
      </c>
      <c r="B55" t="str">
        <f>"0221401945633"</f>
        <v>0221401945633</v>
      </c>
      <c r="C55" t="s">
        <v>437</v>
      </c>
      <c r="D55" t="s">
        <v>2</v>
      </c>
      <c r="E55" t="s">
        <v>63</v>
      </c>
      <c r="F55" t="s">
        <v>438</v>
      </c>
      <c r="G55" t="s">
        <v>31</v>
      </c>
      <c r="H55">
        <v>6.99</v>
      </c>
      <c r="I55">
        <v>23</v>
      </c>
      <c r="J55">
        <v>23</v>
      </c>
      <c r="K55" t="str">
        <f>"9781401945633"</f>
        <v>9781401945633</v>
      </c>
      <c r="L55">
        <v>135</v>
      </c>
      <c r="M55">
        <v>41.99</v>
      </c>
      <c r="N55">
        <v>0</v>
      </c>
      <c r="O55">
        <v>0</v>
      </c>
      <c r="P55">
        <v>15.9562</v>
      </c>
      <c r="Q55" s="1">
        <v>42846</v>
      </c>
      <c r="S55" s="3" t="s">
        <v>437</v>
      </c>
      <c r="T55" s="3" t="s">
        <v>1032</v>
      </c>
      <c r="U55" s="3" t="s">
        <v>1033</v>
      </c>
      <c r="V55" s="3" t="s">
        <v>506</v>
      </c>
      <c r="W55" s="3" t="s">
        <v>506</v>
      </c>
      <c r="X55" s="3" t="s">
        <v>646</v>
      </c>
      <c r="Y55" s="3" t="s">
        <v>638</v>
      </c>
      <c r="Z55" s="3" t="s">
        <v>507</v>
      </c>
      <c r="AA55" s="3" t="s">
        <v>508</v>
      </c>
      <c r="AB55" s="3" t="s">
        <v>678</v>
      </c>
      <c r="AC55">
        <v>30</v>
      </c>
      <c r="AD55">
        <v>0</v>
      </c>
      <c r="AE55" s="1">
        <v>43170</v>
      </c>
      <c r="AH55">
        <v>165</v>
      </c>
      <c r="AI55">
        <v>38</v>
      </c>
      <c r="AJ55" s="3" t="s">
        <v>506</v>
      </c>
    </row>
    <row r="56" spans="1:36" ht="15">
      <c r="A56" t="str">
        <f t="shared" si="2"/>
        <v>0179</v>
      </c>
      <c r="B56" t="str">
        <f>"0201401931287"</f>
        <v>0201401931287</v>
      </c>
      <c r="C56" t="s">
        <v>45</v>
      </c>
      <c r="D56" t="s">
        <v>46</v>
      </c>
      <c r="E56" t="s">
        <v>6</v>
      </c>
      <c r="F56" t="s">
        <v>47</v>
      </c>
      <c r="G56" t="s">
        <v>31</v>
      </c>
      <c r="H56">
        <v>3.99</v>
      </c>
      <c r="I56">
        <v>24</v>
      </c>
      <c r="J56">
        <v>24</v>
      </c>
      <c r="K56" t="str">
        <f>"9781401931285"</f>
        <v>9781401931285</v>
      </c>
      <c r="L56">
        <v>135</v>
      </c>
      <c r="M56">
        <v>16.95</v>
      </c>
      <c r="N56">
        <v>25</v>
      </c>
      <c r="O56">
        <v>25</v>
      </c>
      <c r="P56">
        <v>6.44107</v>
      </c>
      <c r="Q56" s="1">
        <v>42846</v>
      </c>
      <c r="S56" s="3" t="s">
        <v>45</v>
      </c>
      <c r="T56" s="3" t="s">
        <v>1034</v>
      </c>
      <c r="U56" s="3" t="s">
        <v>1035</v>
      </c>
      <c r="V56" s="3" t="s">
        <v>506</v>
      </c>
      <c r="W56" s="3" t="s">
        <v>506</v>
      </c>
      <c r="X56" s="3" t="s">
        <v>646</v>
      </c>
      <c r="Y56" s="3" t="s">
        <v>638</v>
      </c>
      <c r="Z56" s="3" t="s">
        <v>610</v>
      </c>
      <c r="AA56" s="3" t="s">
        <v>508</v>
      </c>
      <c r="AB56" s="3" t="s">
        <v>669</v>
      </c>
      <c r="AC56">
        <v>24</v>
      </c>
      <c r="AD56">
        <v>14</v>
      </c>
      <c r="AE56" s="1">
        <v>43254</v>
      </c>
      <c r="AF56">
        <v>14</v>
      </c>
      <c r="AG56" s="1">
        <v>43254</v>
      </c>
      <c r="AH56">
        <v>629</v>
      </c>
      <c r="AI56">
        <v>566</v>
      </c>
      <c r="AJ56" s="3" t="s">
        <v>506</v>
      </c>
    </row>
    <row r="57" spans="1:36" ht="15">
      <c r="A57" t="str">
        <f t="shared" si="2"/>
        <v>0179</v>
      </c>
      <c r="B57" t="str">
        <f>"0201401931980"</f>
        <v>0201401931980</v>
      </c>
      <c r="C57" t="s">
        <v>48</v>
      </c>
      <c r="D57" t="s">
        <v>46</v>
      </c>
      <c r="E57" t="s">
        <v>6</v>
      </c>
      <c r="F57" t="s">
        <v>49</v>
      </c>
      <c r="G57" t="s">
        <v>31</v>
      </c>
      <c r="H57">
        <v>3.99</v>
      </c>
      <c r="I57">
        <v>24</v>
      </c>
      <c r="J57">
        <v>24</v>
      </c>
      <c r="K57" t="str">
        <f>"9781401931988"</f>
        <v>9781401931988</v>
      </c>
      <c r="L57">
        <v>135</v>
      </c>
      <c r="M57">
        <v>16.95</v>
      </c>
      <c r="N57">
        <v>27</v>
      </c>
      <c r="O57">
        <v>27</v>
      </c>
      <c r="P57">
        <v>6.44058</v>
      </c>
      <c r="Q57" s="1">
        <v>42846</v>
      </c>
      <c r="S57" s="3" t="s">
        <v>48</v>
      </c>
      <c r="T57" s="3" t="s">
        <v>1036</v>
      </c>
      <c r="U57" s="3" t="s">
        <v>1037</v>
      </c>
      <c r="V57" s="3" t="s">
        <v>506</v>
      </c>
      <c r="W57" s="3" t="s">
        <v>506</v>
      </c>
      <c r="X57" s="3" t="s">
        <v>1038</v>
      </c>
      <c r="Y57" s="3" t="s">
        <v>638</v>
      </c>
      <c r="Z57" s="3" t="s">
        <v>610</v>
      </c>
      <c r="AA57" s="3" t="s">
        <v>508</v>
      </c>
      <c r="AB57" s="3" t="s">
        <v>647</v>
      </c>
      <c r="AC57">
        <v>24</v>
      </c>
      <c r="AD57">
        <v>6</v>
      </c>
      <c r="AE57" s="1">
        <v>43254</v>
      </c>
      <c r="AF57">
        <v>5</v>
      </c>
      <c r="AG57" s="1">
        <v>43254</v>
      </c>
      <c r="AH57">
        <v>254</v>
      </c>
      <c r="AI57">
        <v>203</v>
      </c>
      <c r="AJ57" s="3" t="s">
        <v>506</v>
      </c>
    </row>
    <row r="58" spans="1:36" ht="15">
      <c r="A58" t="str">
        <f t="shared" si="2"/>
        <v>0179</v>
      </c>
      <c r="B58" t="str">
        <f>"0201401942108"</f>
        <v>0201401942108</v>
      </c>
      <c r="C58" t="s">
        <v>80</v>
      </c>
      <c r="D58" t="s">
        <v>46</v>
      </c>
      <c r="E58" t="s">
        <v>6</v>
      </c>
      <c r="F58" t="s">
        <v>81</v>
      </c>
      <c r="G58" t="s">
        <v>82</v>
      </c>
      <c r="H58">
        <v>3.75</v>
      </c>
      <c r="I58">
        <v>24</v>
      </c>
      <c r="J58">
        <v>24</v>
      </c>
      <c r="K58" t="str">
        <f>"9781401942106"</f>
        <v>9781401942106</v>
      </c>
      <c r="L58">
        <v>135</v>
      </c>
      <c r="M58">
        <v>20.99</v>
      </c>
      <c r="N58">
        <v>70</v>
      </c>
      <c r="O58">
        <v>70</v>
      </c>
      <c r="P58">
        <v>7.97689</v>
      </c>
      <c r="Q58" s="1">
        <v>42846</v>
      </c>
      <c r="S58" s="3" t="s">
        <v>80</v>
      </c>
      <c r="T58" s="3" t="s">
        <v>734</v>
      </c>
      <c r="U58" s="3" t="s">
        <v>735</v>
      </c>
      <c r="V58" s="3" t="s">
        <v>506</v>
      </c>
      <c r="W58" s="3" t="s">
        <v>506</v>
      </c>
      <c r="X58" s="3" t="s">
        <v>586</v>
      </c>
      <c r="Y58" s="3" t="s">
        <v>638</v>
      </c>
      <c r="Z58" s="3" t="s">
        <v>610</v>
      </c>
      <c r="AA58" s="3" t="s">
        <v>508</v>
      </c>
      <c r="AB58" s="3" t="s">
        <v>509</v>
      </c>
      <c r="AC58">
        <v>24</v>
      </c>
      <c r="AD58">
        <v>15</v>
      </c>
      <c r="AE58" s="1">
        <v>43254</v>
      </c>
      <c r="AF58">
        <v>14</v>
      </c>
      <c r="AG58" s="1">
        <v>43254</v>
      </c>
      <c r="AH58">
        <v>267</v>
      </c>
      <c r="AI58">
        <v>151</v>
      </c>
      <c r="AJ58" s="3" t="s">
        <v>506</v>
      </c>
    </row>
    <row r="59" spans="1:36" ht="15">
      <c r="A59" t="str">
        <f t="shared" si="2"/>
        <v>0179</v>
      </c>
      <c r="B59" t="str">
        <f>"0201401949015"</f>
        <v>0201401949015</v>
      </c>
      <c r="C59" t="s">
        <v>173</v>
      </c>
      <c r="D59" t="s">
        <v>46</v>
      </c>
      <c r="E59" t="s">
        <v>6</v>
      </c>
      <c r="F59" t="s">
        <v>174</v>
      </c>
      <c r="G59" t="s">
        <v>5</v>
      </c>
      <c r="H59">
        <v>2.99</v>
      </c>
      <c r="I59">
        <v>24</v>
      </c>
      <c r="J59">
        <v>24</v>
      </c>
      <c r="K59" t="str">
        <f>"9781401949013"</f>
        <v>9781401949013</v>
      </c>
      <c r="L59">
        <v>135</v>
      </c>
      <c r="M59">
        <v>20.99</v>
      </c>
      <c r="N59">
        <v>22</v>
      </c>
      <c r="O59">
        <v>22</v>
      </c>
      <c r="P59">
        <v>7.97662</v>
      </c>
      <c r="Q59" s="1">
        <v>42846</v>
      </c>
      <c r="S59" s="3" t="s">
        <v>173</v>
      </c>
      <c r="T59" s="3" t="s">
        <v>1039</v>
      </c>
      <c r="U59" s="3" t="s">
        <v>506</v>
      </c>
      <c r="V59" s="3" t="s">
        <v>506</v>
      </c>
      <c r="W59" s="3" t="s">
        <v>506</v>
      </c>
      <c r="X59" s="3" t="s">
        <v>673</v>
      </c>
      <c r="Y59" s="3" t="s">
        <v>638</v>
      </c>
      <c r="Z59" s="3" t="s">
        <v>610</v>
      </c>
      <c r="AA59" s="3" t="s">
        <v>508</v>
      </c>
      <c r="AB59" s="3" t="s">
        <v>986</v>
      </c>
      <c r="AC59">
        <v>24</v>
      </c>
      <c r="AD59">
        <v>2</v>
      </c>
      <c r="AE59" s="1">
        <v>43254</v>
      </c>
      <c r="AH59">
        <v>25</v>
      </c>
      <c r="AI59">
        <v>18</v>
      </c>
      <c r="AJ59" s="3" t="s">
        <v>506</v>
      </c>
    </row>
    <row r="60" spans="1:36" ht="15">
      <c r="A60" t="str">
        <f t="shared" si="2"/>
        <v>0179</v>
      </c>
      <c r="B60" t="str">
        <f>"0201401943396"</f>
        <v>0201401943396</v>
      </c>
      <c r="C60" t="s">
        <v>105</v>
      </c>
      <c r="D60" t="s">
        <v>2</v>
      </c>
      <c r="E60" t="s">
        <v>6</v>
      </c>
      <c r="F60" t="s">
        <v>47</v>
      </c>
      <c r="G60" t="s">
        <v>5</v>
      </c>
      <c r="H60">
        <v>3.99</v>
      </c>
      <c r="I60">
        <v>25</v>
      </c>
      <c r="J60">
        <v>25</v>
      </c>
      <c r="K60" t="str">
        <f>"9781401943394"</f>
        <v>9781401943394</v>
      </c>
      <c r="L60">
        <v>135</v>
      </c>
      <c r="M60">
        <v>16.95</v>
      </c>
      <c r="N60">
        <v>24</v>
      </c>
      <c r="O60">
        <v>24</v>
      </c>
      <c r="P60">
        <v>6.44104</v>
      </c>
      <c r="Q60" s="1">
        <v>42846</v>
      </c>
      <c r="S60" s="3" t="s">
        <v>105</v>
      </c>
      <c r="T60" s="3" t="s">
        <v>644</v>
      </c>
      <c r="U60" s="3" t="s">
        <v>645</v>
      </c>
      <c r="V60" s="3" t="s">
        <v>506</v>
      </c>
      <c r="W60" s="3" t="s">
        <v>506</v>
      </c>
      <c r="X60" s="3" t="s">
        <v>640</v>
      </c>
      <c r="Y60" s="3" t="s">
        <v>638</v>
      </c>
      <c r="Z60" s="3" t="s">
        <v>610</v>
      </c>
      <c r="AA60" s="3" t="s">
        <v>508</v>
      </c>
      <c r="AB60" s="3" t="s">
        <v>509</v>
      </c>
      <c r="AC60">
        <v>24</v>
      </c>
      <c r="AD60">
        <v>5</v>
      </c>
      <c r="AE60" s="1">
        <v>43254</v>
      </c>
      <c r="AF60">
        <v>4</v>
      </c>
      <c r="AG60" s="1">
        <v>43254</v>
      </c>
      <c r="AH60">
        <v>174</v>
      </c>
      <c r="AI60">
        <v>122</v>
      </c>
      <c r="AJ60" s="3" t="s">
        <v>506</v>
      </c>
    </row>
    <row r="61" spans="1:36" ht="15">
      <c r="A61" t="str">
        <f t="shared" si="2"/>
        <v>0179</v>
      </c>
      <c r="B61" t="str">
        <f>"0221401946401"</f>
        <v>0221401946401</v>
      </c>
      <c r="C61" t="s">
        <v>439</v>
      </c>
      <c r="D61" t="s">
        <v>46</v>
      </c>
      <c r="E61" t="s">
        <v>6</v>
      </c>
      <c r="F61" t="s">
        <v>440</v>
      </c>
      <c r="G61" t="s">
        <v>9</v>
      </c>
      <c r="H61">
        <v>3.75</v>
      </c>
      <c r="I61">
        <v>31</v>
      </c>
      <c r="J61">
        <v>31</v>
      </c>
      <c r="K61" t="str">
        <f>"9781401946401"</f>
        <v>9781401946401</v>
      </c>
      <c r="L61">
        <v>135</v>
      </c>
      <c r="M61">
        <v>20.99</v>
      </c>
      <c r="N61">
        <v>0</v>
      </c>
      <c r="O61">
        <v>0</v>
      </c>
      <c r="P61">
        <v>7.98</v>
      </c>
      <c r="Q61" s="1">
        <v>42846</v>
      </c>
      <c r="S61" s="3" t="s">
        <v>439</v>
      </c>
      <c r="T61" s="3" t="s">
        <v>1040</v>
      </c>
      <c r="U61" s="3" t="s">
        <v>1041</v>
      </c>
      <c r="V61" s="3" t="s">
        <v>506</v>
      </c>
      <c r="W61" s="3" t="s">
        <v>506</v>
      </c>
      <c r="X61" s="3" t="s">
        <v>1042</v>
      </c>
      <c r="Y61" s="3" t="s">
        <v>638</v>
      </c>
      <c r="Z61" s="3" t="s">
        <v>507</v>
      </c>
      <c r="AA61" s="3" t="s">
        <v>508</v>
      </c>
      <c r="AB61" s="3" t="s">
        <v>868</v>
      </c>
      <c r="AC61">
        <v>24</v>
      </c>
      <c r="AD61">
        <v>1</v>
      </c>
      <c r="AE61" s="1">
        <v>43254</v>
      </c>
      <c r="AH61">
        <v>17</v>
      </c>
      <c r="AI61">
        <v>10</v>
      </c>
      <c r="AJ61" s="3" t="s">
        <v>506</v>
      </c>
    </row>
    <row r="62" spans="1:36" ht="15">
      <c r="A62" t="str">
        <f t="shared" si="2"/>
        <v>0179</v>
      </c>
      <c r="B62" t="str">
        <f>"0221401943745"</f>
        <v>0221401943745</v>
      </c>
      <c r="C62" t="s">
        <v>431</v>
      </c>
      <c r="D62" t="s">
        <v>46</v>
      </c>
      <c r="E62" t="s">
        <v>6</v>
      </c>
      <c r="F62" t="s">
        <v>432</v>
      </c>
      <c r="G62" t="s">
        <v>222</v>
      </c>
      <c r="H62">
        <v>3.99</v>
      </c>
      <c r="I62">
        <v>31</v>
      </c>
      <c r="J62">
        <v>31</v>
      </c>
      <c r="K62" t="str">
        <f>"9781401943745"</f>
        <v>9781401943745</v>
      </c>
      <c r="L62">
        <v>135</v>
      </c>
      <c r="M62">
        <v>22.5</v>
      </c>
      <c r="N62">
        <v>6</v>
      </c>
      <c r="O62">
        <v>6</v>
      </c>
      <c r="P62">
        <v>8.55</v>
      </c>
      <c r="Q62" s="1">
        <v>42846</v>
      </c>
      <c r="S62" s="3" t="s">
        <v>431</v>
      </c>
      <c r="T62" s="3" t="s">
        <v>1043</v>
      </c>
      <c r="U62" s="3" t="s">
        <v>1044</v>
      </c>
      <c r="V62" s="3" t="s">
        <v>506</v>
      </c>
      <c r="W62" s="3" t="s">
        <v>506</v>
      </c>
      <c r="X62" s="3" t="s">
        <v>1045</v>
      </c>
      <c r="Y62" s="3" t="s">
        <v>638</v>
      </c>
      <c r="Z62" s="3" t="s">
        <v>507</v>
      </c>
      <c r="AA62" s="3" t="s">
        <v>508</v>
      </c>
      <c r="AB62" s="3" t="s">
        <v>807</v>
      </c>
      <c r="AC62">
        <v>24</v>
      </c>
      <c r="AD62">
        <v>2</v>
      </c>
      <c r="AE62" s="1">
        <v>43254</v>
      </c>
      <c r="AF62">
        <v>2</v>
      </c>
      <c r="AG62" s="1">
        <v>43254</v>
      </c>
      <c r="AH62">
        <v>72</v>
      </c>
      <c r="AI62">
        <v>43</v>
      </c>
      <c r="AJ62" s="3" t="s">
        <v>506</v>
      </c>
    </row>
    <row r="63" spans="1:36" ht="15">
      <c r="A63" t="str">
        <f t="shared" si="2"/>
        <v>0179</v>
      </c>
      <c r="B63" t="str">
        <f>"0221401944414"</f>
        <v>0221401944414</v>
      </c>
      <c r="C63" t="s">
        <v>433</v>
      </c>
      <c r="D63" t="s">
        <v>2</v>
      </c>
      <c r="E63" t="s">
        <v>8</v>
      </c>
      <c r="F63" t="s">
        <v>434</v>
      </c>
      <c r="G63" t="s">
        <v>13</v>
      </c>
      <c r="H63">
        <v>2.99</v>
      </c>
      <c r="I63">
        <v>47</v>
      </c>
      <c r="J63">
        <v>47</v>
      </c>
      <c r="K63" t="str">
        <f>"9781401944414"</f>
        <v>9781401944414</v>
      </c>
      <c r="L63">
        <v>135</v>
      </c>
      <c r="M63">
        <v>20.99</v>
      </c>
      <c r="N63">
        <v>0</v>
      </c>
      <c r="O63">
        <v>0</v>
      </c>
      <c r="P63">
        <v>7.9762</v>
      </c>
      <c r="Q63" s="1">
        <v>42846</v>
      </c>
      <c r="S63" s="3" t="s">
        <v>1046</v>
      </c>
      <c r="T63" s="3" t="s">
        <v>1047</v>
      </c>
      <c r="U63" s="3" t="s">
        <v>506</v>
      </c>
      <c r="V63" s="3" t="s">
        <v>506</v>
      </c>
      <c r="W63" s="3" t="s">
        <v>506</v>
      </c>
      <c r="X63" s="3" t="s">
        <v>770</v>
      </c>
      <c r="Y63" s="3" t="s">
        <v>638</v>
      </c>
      <c r="Z63" s="3" t="s">
        <v>507</v>
      </c>
      <c r="AA63" s="3" t="s">
        <v>508</v>
      </c>
      <c r="AB63" s="3" t="s">
        <v>868</v>
      </c>
      <c r="AC63">
        <v>12</v>
      </c>
      <c r="AH63">
        <v>1</v>
      </c>
      <c r="AJ63" s="3" t="s">
        <v>506</v>
      </c>
    </row>
    <row r="64" spans="1:36" ht="15">
      <c r="A64" t="str">
        <f t="shared" si="2"/>
        <v>0179</v>
      </c>
      <c r="B64" t="str">
        <f>"0201401946199"</f>
        <v>0201401946199</v>
      </c>
      <c r="C64" t="s">
        <v>142</v>
      </c>
      <c r="D64" t="s">
        <v>2</v>
      </c>
      <c r="E64" t="s">
        <v>6</v>
      </c>
      <c r="F64" t="s">
        <v>143</v>
      </c>
      <c r="G64" t="s">
        <v>9</v>
      </c>
      <c r="H64">
        <v>3.99</v>
      </c>
      <c r="I64">
        <v>47</v>
      </c>
      <c r="J64">
        <v>47</v>
      </c>
      <c r="K64" t="str">
        <f>"9781401946197"</f>
        <v>9781401946197</v>
      </c>
      <c r="L64">
        <v>135</v>
      </c>
      <c r="M64">
        <v>22.5</v>
      </c>
      <c r="N64">
        <v>42</v>
      </c>
      <c r="O64">
        <v>42</v>
      </c>
      <c r="P64">
        <v>8.55</v>
      </c>
      <c r="Q64" s="1">
        <v>42846</v>
      </c>
      <c r="S64" s="3" t="s">
        <v>142</v>
      </c>
      <c r="T64" s="3" t="s">
        <v>1048</v>
      </c>
      <c r="U64" s="3" t="s">
        <v>1049</v>
      </c>
      <c r="V64" s="3" t="s">
        <v>506</v>
      </c>
      <c r="W64" s="3" t="s">
        <v>506</v>
      </c>
      <c r="X64" s="3" t="s">
        <v>1050</v>
      </c>
      <c r="Y64" s="3" t="s">
        <v>638</v>
      </c>
      <c r="Z64" s="3" t="s">
        <v>610</v>
      </c>
      <c r="AA64" s="3" t="s">
        <v>508</v>
      </c>
      <c r="AB64" s="3" t="s">
        <v>830</v>
      </c>
      <c r="AC64">
        <v>24</v>
      </c>
      <c r="AD64">
        <v>8</v>
      </c>
      <c r="AE64" s="1">
        <v>43254</v>
      </c>
      <c r="AF64">
        <v>8</v>
      </c>
      <c r="AG64" s="1">
        <v>43254</v>
      </c>
      <c r="AH64">
        <v>290</v>
      </c>
      <c r="AI64">
        <v>136</v>
      </c>
      <c r="AJ64" s="3" t="s">
        <v>506</v>
      </c>
    </row>
    <row r="65" spans="1:36" ht="15">
      <c r="A65" t="str">
        <f t="shared" si="2"/>
        <v>0179</v>
      </c>
      <c r="B65" t="str">
        <f>"0201401950523"</f>
        <v>0201401950523</v>
      </c>
      <c r="C65" t="s">
        <v>180</v>
      </c>
      <c r="D65" t="s">
        <v>46</v>
      </c>
      <c r="E65" t="s">
        <v>8</v>
      </c>
      <c r="F65" t="s">
        <v>181</v>
      </c>
      <c r="G65" t="s">
        <v>75</v>
      </c>
      <c r="H65">
        <v>5.99</v>
      </c>
      <c r="I65">
        <v>48</v>
      </c>
      <c r="J65">
        <v>48</v>
      </c>
      <c r="K65" t="str">
        <f>"9781401950521"</f>
        <v>9781401950521</v>
      </c>
      <c r="L65">
        <v>135</v>
      </c>
      <c r="M65">
        <v>34.99</v>
      </c>
      <c r="N65">
        <v>87</v>
      </c>
      <c r="O65">
        <v>87</v>
      </c>
      <c r="P65">
        <v>13.2971</v>
      </c>
      <c r="Q65" s="1">
        <v>42846</v>
      </c>
      <c r="S65" s="3" t="s">
        <v>180</v>
      </c>
      <c r="T65" s="3" t="s">
        <v>1051</v>
      </c>
      <c r="U65" s="3" t="s">
        <v>1052</v>
      </c>
      <c r="V65" s="3" t="s">
        <v>506</v>
      </c>
      <c r="W65" s="3" t="s">
        <v>506</v>
      </c>
      <c r="X65" s="3" t="s">
        <v>609</v>
      </c>
      <c r="Y65" s="3" t="s">
        <v>638</v>
      </c>
      <c r="Z65" s="3" t="s">
        <v>610</v>
      </c>
      <c r="AA65" s="3" t="s">
        <v>508</v>
      </c>
      <c r="AB65" s="3" t="s">
        <v>1053</v>
      </c>
      <c r="AC65">
        <v>12</v>
      </c>
      <c r="AD65">
        <v>24</v>
      </c>
      <c r="AE65" s="1">
        <v>43254</v>
      </c>
      <c r="AF65">
        <v>24</v>
      </c>
      <c r="AG65" s="1">
        <v>43254</v>
      </c>
      <c r="AH65">
        <v>95</v>
      </c>
      <c r="AI65">
        <v>21</v>
      </c>
      <c r="AJ65" s="3" t="s">
        <v>506</v>
      </c>
    </row>
    <row r="66" spans="1:36" ht="15">
      <c r="A66" t="str">
        <f t="shared" si="2"/>
        <v>0179</v>
      </c>
      <c r="B66" t="str">
        <f>"0201401946045"</f>
        <v>0201401946045</v>
      </c>
      <c r="C66" t="s">
        <v>138</v>
      </c>
      <c r="D66" t="s">
        <v>2</v>
      </c>
      <c r="E66" t="s">
        <v>8</v>
      </c>
      <c r="F66" t="s">
        <v>139</v>
      </c>
      <c r="G66" t="s">
        <v>31</v>
      </c>
      <c r="H66">
        <v>5.99</v>
      </c>
      <c r="I66">
        <v>48</v>
      </c>
      <c r="J66">
        <v>48</v>
      </c>
      <c r="K66" t="str">
        <f>"9781401946043"</f>
        <v>9781401946043</v>
      </c>
      <c r="L66">
        <v>135</v>
      </c>
      <c r="M66">
        <v>36.95</v>
      </c>
      <c r="N66">
        <v>13</v>
      </c>
      <c r="O66">
        <v>13</v>
      </c>
      <c r="P66">
        <v>14.04092</v>
      </c>
      <c r="Q66" s="1">
        <v>42846</v>
      </c>
      <c r="S66" s="3" t="s">
        <v>138</v>
      </c>
      <c r="T66" s="3" t="s">
        <v>1054</v>
      </c>
      <c r="U66" s="3" t="s">
        <v>1055</v>
      </c>
      <c r="V66" s="3" t="s">
        <v>506</v>
      </c>
      <c r="W66" s="3" t="s">
        <v>506</v>
      </c>
      <c r="X66" s="3" t="s">
        <v>646</v>
      </c>
      <c r="Y66" s="3" t="s">
        <v>638</v>
      </c>
      <c r="Z66" s="3" t="s">
        <v>610</v>
      </c>
      <c r="AA66" s="3" t="s">
        <v>508</v>
      </c>
      <c r="AB66" s="3" t="s">
        <v>643</v>
      </c>
      <c r="AC66">
        <v>12</v>
      </c>
      <c r="AD66">
        <v>1</v>
      </c>
      <c r="AE66" s="1">
        <v>42533</v>
      </c>
      <c r="AF66">
        <v>1</v>
      </c>
      <c r="AG66" s="1">
        <v>42533</v>
      </c>
      <c r="AH66">
        <v>239</v>
      </c>
      <c r="AI66">
        <v>93</v>
      </c>
      <c r="AJ66" s="3" t="s">
        <v>506</v>
      </c>
    </row>
    <row r="67" spans="1:36" ht="15">
      <c r="A67" t="str">
        <f t="shared" si="2"/>
        <v>0179</v>
      </c>
      <c r="B67" t="str">
        <f>"0201401945123"</f>
        <v>0201401945123</v>
      </c>
      <c r="C67" t="s">
        <v>124</v>
      </c>
      <c r="D67" t="s">
        <v>2</v>
      </c>
      <c r="E67" t="s">
        <v>50</v>
      </c>
      <c r="F67" t="s">
        <v>125</v>
      </c>
      <c r="G67" t="s">
        <v>9</v>
      </c>
      <c r="H67">
        <v>7.99</v>
      </c>
      <c r="I67">
        <v>49</v>
      </c>
      <c r="J67">
        <v>49</v>
      </c>
      <c r="K67" t="str">
        <f>"9781401945121"</f>
        <v>9781401945121</v>
      </c>
      <c r="L67">
        <v>135</v>
      </c>
      <c r="M67">
        <v>39.95</v>
      </c>
      <c r="N67">
        <v>12</v>
      </c>
      <c r="O67">
        <v>12</v>
      </c>
      <c r="P67">
        <v>15.18121</v>
      </c>
      <c r="Q67" s="1">
        <v>42846</v>
      </c>
      <c r="S67" s="3" t="s">
        <v>124</v>
      </c>
      <c r="T67" s="3" t="s">
        <v>723</v>
      </c>
      <c r="U67" s="3" t="s">
        <v>724</v>
      </c>
      <c r="V67" s="3" t="s">
        <v>506</v>
      </c>
      <c r="W67" s="3" t="s">
        <v>506</v>
      </c>
      <c r="X67" s="3" t="s">
        <v>725</v>
      </c>
      <c r="Y67" s="3" t="s">
        <v>638</v>
      </c>
      <c r="Z67" s="3" t="s">
        <v>610</v>
      </c>
      <c r="AA67" s="3" t="s">
        <v>508</v>
      </c>
      <c r="AB67" s="3" t="s">
        <v>643</v>
      </c>
      <c r="AC67">
        <v>30</v>
      </c>
      <c r="AD67">
        <v>3</v>
      </c>
      <c r="AE67" s="1">
        <v>43254</v>
      </c>
      <c r="AF67">
        <v>2</v>
      </c>
      <c r="AG67" s="1">
        <v>43254</v>
      </c>
      <c r="AH67">
        <v>295</v>
      </c>
      <c r="AI67">
        <v>205</v>
      </c>
      <c r="AJ67" s="3" t="s">
        <v>506</v>
      </c>
    </row>
    <row r="68" spans="1:36" ht="15">
      <c r="A68" t="str">
        <f t="shared" si="2"/>
        <v>0179</v>
      </c>
      <c r="B68" t="str">
        <f>"0221401943004"</f>
        <v>0221401943004</v>
      </c>
      <c r="C68" t="s">
        <v>96</v>
      </c>
      <c r="D68" t="s">
        <v>46</v>
      </c>
      <c r="E68" t="s">
        <v>6</v>
      </c>
      <c r="F68" t="s">
        <v>427</v>
      </c>
      <c r="G68" t="s">
        <v>9</v>
      </c>
      <c r="H68">
        <v>3.75</v>
      </c>
      <c r="I68">
        <v>57</v>
      </c>
      <c r="J68">
        <v>57</v>
      </c>
      <c r="K68" t="str">
        <f>"9781401943004"</f>
        <v>9781401943004</v>
      </c>
      <c r="L68">
        <v>135</v>
      </c>
      <c r="M68">
        <v>20.99</v>
      </c>
      <c r="N68">
        <v>9</v>
      </c>
      <c r="O68">
        <v>9</v>
      </c>
      <c r="P68">
        <v>7.97966</v>
      </c>
      <c r="Q68" s="1">
        <v>42846</v>
      </c>
      <c r="S68" s="3" t="s">
        <v>96</v>
      </c>
      <c r="T68" s="3" t="s">
        <v>827</v>
      </c>
      <c r="U68" s="3" t="s">
        <v>828</v>
      </c>
      <c r="V68" s="3" t="s">
        <v>506</v>
      </c>
      <c r="W68" s="3" t="s">
        <v>506</v>
      </c>
      <c r="X68" s="3" t="s">
        <v>668</v>
      </c>
      <c r="Y68" s="3" t="s">
        <v>638</v>
      </c>
      <c r="Z68" s="3" t="s">
        <v>507</v>
      </c>
      <c r="AA68" s="3" t="s">
        <v>508</v>
      </c>
      <c r="AB68" s="3" t="s">
        <v>830</v>
      </c>
      <c r="AC68">
        <v>24</v>
      </c>
      <c r="AD68">
        <v>2</v>
      </c>
      <c r="AE68" s="1">
        <v>43254</v>
      </c>
      <c r="AF68">
        <v>2</v>
      </c>
      <c r="AG68" s="1">
        <v>43254</v>
      </c>
      <c r="AH68">
        <v>88</v>
      </c>
      <c r="AI68">
        <v>54</v>
      </c>
      <c r="AJ68" s="3" t="s">
        <v>506</v>
      </c>
    </row>
    <row r="69" spans="1:36" ht="15">
      <c r="A69" t="str">
        <f t="shared" si="2"/>
        <v>0179</v>
      </c>
      <c r="B69" t="str">
        <f>"0221401941604"</f>
        <v>0221401941604</v>
      </c>
      <c r="C69" t="s">
        <v>425</v>
      </c>
      <c r="D69" t="s">
        <v>46</v>
      </c>
      <c r="E69" t="s">
        <v>6</v>
      </c>
      <c r="F69" t="s">
        <v>426</v>
      </c>
      <c r="G69" t="s">
        <v>5</v>
      </c>
      <c r="H69">
        <v>3.75</v>
      </c>
      <c r="I69">
        <v>59</v>
      </c>
      <c r="J69">
        <v>59</v>
      </c>
      <c r="K69" t="str">
        <f>"9781401941604"</f>
        <v>9781401941604</v>
      </c>
      <c r="L69">
        <v>135</v>
      </c>
      <c r="M69">
        <v>20.99</v>
      </c>
      <c r="N69">
        <v>14</v>
      </c>
      <c r="O69">
        <v>14</v>
      </c>
      <c r="P69">
        <v>7.97815</v>
      </c>
      <c r="Q69" s="1">
        <v>42846</v>
      </c>
      <c r="S69" s="3" t="s">
        <v>425</v>
      </c>
      <c r="T69" s="3" t="s">
        <v>1056</v>
      </c>
      <c r="U69" s="3" t="s">
        <v>1057</v>
      </c>
      <c r="V69" s="3" t="s">
        <v>506</v>
      </c>
      <c r="W69" s="3" t="s">
        <v>506</v>
      </c>
      <c r="X69" s="3" t="s">
        <v>673</v>
      </c>
      <c r="Y69" s="3" t="s">
        <v>638</v>
      </c>
      <c r="Z69" s="3" t="s">
        <v>507</v>
      </c>
      <c r="AA69" s="3" t="s">
        <v>508</v>
      </c>
      <c r="AB69" s="3" t="s">
        <v>830</v>
      </c>
      <c r="AC69">
        <v>24</v>
      </c>
      <c r="AD69">
        <v>1</v>
      </c>
      <c r="AE69" s="1">
        <v>43254</v>
      </c>
      <c r="AF69">
        <v>1</v>
      </c>
      <c r="AG69" s="1">
        <v>43254</v>
      </c>
      <c r="AH69">
        <v>70</v>
      </c>
      <c r="AI69">
        <v>69</v>
      </c>
      <c r="AJ69" s="3" t="s">
        <v>506</v>
      </c>
    </row>
    <row r="70" spans="1:36" ht="15">
      <c r="A70" t="str">
        <f t="shared" si="2"/>
        <v>0179</v>
      </c>
      <c r="B70" t="str">
        <f>"0201401929123"</f>
        <v>0201401929123</v>
      </c>
      <c r="C70" t="s">
        <v>41</v>
      </c>
      <c r="D70" t="s">
        <v>2</v>
      </c>
      <c r="E70" t="s">
        <v>6</v>
      </c>
      <c r="F70" t="s">
        <v>42</v>
      </c>
      <c r="G70" t="s">
        <v>9</v>
      </c>
      <c r="H70">
        <v>0.99</v>
      </c>
      <c r="I70">
        <v>67</v>
      </c>
      <c r="J70">
        <v>67</v>
      </c>
      <c r="K70" t="str">
        <f>"9781401929121"</f>
        <v>9781401929121</v>
      </c>
      <c r="L70">
        <v>135</v>
      </c>
      <c r="M70">
        <v>7.95</v>
      </c>
      <c r="N70">
        <v>3</v>
      </c>
      <c r="O70">
        <v>3</v>
      </c>
      <c r="P70">
        <v>3.02084</v>
      </c>
      <c r="Q70" s="1">
        <v>42846</v>
      </c>
      <c r="S70" s="3" t="s">
        <v>68</v>
      </c>
      <c r="T70" s="3" t="s">
        <v>658</v>
      </c>
      <c r="U70" s="3" t="s">
        <v>1058</v>
      </c>
      <c r="V70" s="3" t="s">
        <v>506</v>
      </c>
      <c r="W70" s="3" t="s">
        <v>506</v>
      </c>
      <c r="X70" s="3" t="s">
        <v>660</v>
      </c>
      <c r="Y70" s="3" t="s">
        <v>638</v>
      </c>
      <c r="Z70" s="3" t="s">
        <v>610</v>
      </c>
      <c r="AA70" s="3" t="s">
        <v>508</v>
      </c>
      <c r="AB70" s="3" t="s">
        <v>526</v>
      </c>
      <c r="AC70">
        <v>24</v>
      </c>
      <c r="AD70">
        <v>0</v>
      </c>
      <c r="AE70" s="1">
        <v>43240</v>
      </c>
      <c r="AF70">
        <v>-1</v>
      </c>
      <c r="AG70" s="1">
        <v>42421</v>
      </c>
      <c r="AH70">
        <v>4747</v>
      </c>
      <c r="AI70">
        <v>2841</v>
      </c>
      <c r="AJ70" s="3" t="s">
        <v>506</v>
      </c>
    </row>
    <row r="71" spans="1:36" ht="15">
      <c r="A71" t="str">
        <f t="shared" si="2"/>
        <v>0179</v>
      </c>
      <c r="B71" t="str">
        <f>"0201401945185"</f>
        <v>0201401945185</v>
      </c>
      <c r="C71" t="s">
        <v>123</v>
      </c>
      <c r="D71" t="s">
        <v>2</v>
      </c>
      <c r="E71" t="s">
        <v>6</v>
      </c>
      <c r="F71" t="s">
        <v>95</v>
      </c>
      <c r="G71" t="s">
        <v>5</v>
      </c>
      <c r="H71">
        <v>2.99</v>
      </c>
      <c r="I71">
        <v>72</v>
      </c>
      <c r="J71">
        <v>72</v>
      </c>
      <c r="K71" t="str">
        <f>"9781401945183"</f>
        <v>9781401945183</v>
      </c>
      <c r="L71">
        <v>135</v>
      </c>
      <c r="M71">
        <v>20.99</v>
      </c>
      <c r="N71">
        <v>35</v>
      </c>
      <c r="O71">
        <v>35</v>
      </c>
      <c r="P71">
        <v>7.97947</v>
      </c>
      <c r="Q71" s="1">
        <v>42846</v>
      </c>
      <c r="S71" s="3" t="s">
        <v>123</v>
      </c>
      <c r="T71" s="3" t="s">
        <v>736</v>
      </c>
      <c r="U71" s="3" t="s">
        <v>737</v>
      </c>
      <c r="V71" s="3" t="s">
        <v>506</v>
      </c>
      <c r="W71" s="3" t="s">
        <v>506</v>
      </c>
      <c r="X71" s="3" t="s">
        <v>738</v>
      </c>
      <c r="Y71" s="3" t="s">
        <v>638</v>
      </c>
      <c r="Z71" s="3" t="s">
        <v>610</v>
      </c>
      <c r="AA71" s="3" t="s">
        <v>508</v>
      </c>
      <c r="AB71" s="3" t="s">
        <v>830</v>
      </c>
      <c r="AC71">
        <v>24</v>
      </c>
      <c r="AD71">
        <v>18</v>
      </c>
      <c r="AE71" s="1">
        <v>43254</v>
      </c>
      <c r="AF71">
        <v>13</v>
      </c>
      <c r="AG71" s="1">
        <v>43254</v>
      </c>
      <c r="AH71">
        <v>284</v>
      </c>
      <c r="AI71">
        <v>161</v>
      </c>
      <c r="AJ71" s="3" t="s">
        <v>506</v>
      </c>
    </row>
    <row r="72" spans="1:36" ht="15">
      <c r="A72" t="str">
        <f t="shared" si="2"/>
        <v>0179</v>
      </c>
      <c r="B72" t="str">
        <f>"0201401948889"</f>
        <v>0201401948889</v>
      </c>
      <c r="C72" t="s">
        <v>167</v>
      </c>
      <c r="D72" t="s">
        <v>2</v>
      </c>
      <c r="E72" t="s">
        <v>6</v>
      </c>
      <c r="F72" t="s">
        <v>168</v>
      </c>
      <c r="G72" t="s">
        <v>31</v>
      </c>
      <c r="H72">
        <v>3.75</v>
      </c>
      <c r="I72">
        <v>72</v>
      </c>
      <c r="J72">
        <v>72</v>
      </c>
      <c r="K72" t="str">
        <f>"9781401948887"</f>
        <v>9781401948887</v>
      </c>
      <c r="L72">
        <v>135</v>
      </c>
      <c r="M72">
        <v>20.99</v>
      </c>
      <c r="N72">
        <v>66</v>
      </c>
      <c r="O72">
        <v>66</v>
      </c>
      <c r="P72">
        <v>7.97672</v>
      </c>
      <c r="Q72" s="1">
        <v>42846</v>
      </c>
      <c r="S72" s="3" t="s">
        <v>167</v>
      </c>
      <c r="T72" s="3" t="s">
        <v>1059</v>
      </c>
      <c r="U72" s="3" t="s">
        <v>1060</v>
      </c>
      <c r="V72" s="3" t="s">
        <v>506</v>
      </c>
      <c r="W72" s="3" t="s">
        <v>506</v>
      </c>
      <c r="X72" s="3" t="s">
        <v>646</v>
      </c>
      <c r="Y72" s="3" t="s">
        <v>638</v>
      </c>
      <c r="Z72" s="3" t="s">
        <v>610</v>
      </c>
      <c r="AA72" s="3" t="s">
        <v>508</v>
      </c>
      <c r="AB72" s="3" t="s">
        <v>868</v>
      </c>
      <c r="AC72">
        <v>24</v>
      </c>
      <c r="AD72">
        <v>4</v>
      </c>
      <c r="AE72" s="1">
        <v>43254</v>
      </c>
      <c r="AF72">
        <v>3</v>
      </c>
      <c r="AG72" s="1">
        <v>43254</v>
      </c>
      <c r="AH72">
        <v>127</v>
      </c>
      <c r="AI72">
        <v>88</v>
      </c>
      <c r="AJ72" s="3" t="s">
        <v>506</v>
      </c>
    </row>
    <row r="73" spans="1:36" ht="15">
      <c r="A73" t="str">
        <f t="shared" si="2"/>
        <v>0179</v>
      </c>
      <c r="B73" t="str">
        <f>"0201401946724"</f>
        <v>0201401946724</v>
      </c>
      <c r="C73" t="s">
        <v>149</v>
      </c>
      <c r="D73" t="s">
        <v>2</v>
      </c>
      <c r="E73" t="s">
        <v>6</v>
      </c>
      <c r="F73" t="s">
        <v>42</v>
      </c>
      <c r="G73" t="s">
        <v>9</v>
      </c>
      <c r="H73">
        <v>3.99</v>
      </c>
      <c r="I73">
        <v>72</v>
      </c>
      <c r="J73">
        <v>72</v>
      </c>
      <c r="K73" t="str">
        <f>"9781401946722"</f>
        <v>9781401946722</v>
      </c>
      <c r="L73">
        <v>135</v>
      </c>
      <c r="M73">
        <v>23.99</v>
      </c>
      <c r="N73">
        <v>46</v>
      </c>
      <c r="O73">
        <v>46</v>
      </c>
      <c r="P73">
        <v>9.11746</v>
      </c>
      <c r="Q73" s="1">
        <v>42846</v>
      </c>
      <c r="S73" s="3" t="s">
        <v>1061</v>
      </c>
      <c r="T73" s="3" t="s">
        <v>1062</v>
      </c>
      <c r="U73" s="3" t="s">
        <v>1063</v>
      </c>
      <c r="V73" s="3" t="s">
        <v>506</v>
      </c>
      <c r="W73" s="3" t="s">
        <v>506</v>
      </c>
      <c r="X73" s="3" t="s">
        <v>660</v>
      </c>
      <c r="Y73" s="3" t="s">
        <v>638</v>
      </c>
      <c r="Z73" s="3" t="s">
        <v>610</v>
      </c>
      <c r="AA73" s="3" t="s">
        <v>508</v>
      </c>
      <c r="AB73" s="3" t="s">
        <v>807</v>
      </c>
      <c r="AC73">
        <v>24</v>
      </c>
      <c r="AD73">
        <v>8</v>
      </c>
      <c r="AE73" s="1">
        <v>43254</v>
      </c>
      <c r="AF73">
        <v>8</v>
      </c>
      <c r="AG73" s="1">
        <v>43254</v>
      </c>
      <c r="AH73">
        <v>60</v>
      </c>
      <c r="AI73">
        <v>40</v>
      </c>
      <c r="AJ73" s="3" t="s">
        <v>506</v>
      </c>
    </row>
    <row r="74" spans="1:36" ht="15">
      <c r="A74" t="str">
        <f t="shared" si="2"/>
        <v>0179</v>
      </c>
      <c r="B74" t="str">
        <f>"0221401947323"</f>
        <v>0221401947323</v>
      </c>
      <c r="C74" t="s">
        <v>443</v>
      </c>
      <c r="D74" t="s">
        <v>46</v>
      </c>
      <c r="E74" t="s">
        <v>8</v>
      </c>
      <c r="F74" t="s">
        <v>444</v>
      </c>
      <c r="G74" t="s">
        <v>82</v>
      </c>
      <c r="H74">
        <v>5.99</v>
      </c>
      <c r="I74">
        <v>74</v>
      </c>
      <c r="J74">
        <v>74</v>
      </c>
      <c r="K74" t="str">
        <f>"9781401947323"</f>
        <v>9781401947323</v>
      </c>
      <c r="L74">
        <v>135</v>
      </c>
      <c r="M74">
        <v>34.99</v>
      </c>
      <c r="N74">
        <v>12</v>
      </c>
      <c r="O74">
        <v>12</v>
      </c>
      <c r="P74">
        <v>13.29914</v>
      </c>
      <c r="Q74" s="1">
        <v>42846</v>
      </c>
      <c r="S74" s="3" t="s">
        <v>443</v>
      </c>
      <c r="T74" s="3" t="s">
        <v>1064</v>
      </c>
      <c r="U74" s="3" t="s">
        <v>1065</v>
      </c>
      <c r="V74" s="3" t="s">
        <v>506</v>
      </c>
      <c r="W74" s="3" t="s">
        <v>506</v>
      </c>
      <c r="X74" s="3" t="s">
        <v>624</v>
      </c>
      <c r="Y74" s="3" t="s">
        <v>638</v>
      </c>
      <c r="Z74" s="3" t="s">
        <v>507</v>
      </c>
      <c r="AA74" s="3" t="s">
        <v>508</v>
      </c>
      <c r="AB74" s="3" t="s">
        <v>868</v>
      </c>
      <c r="AC74">
        <v>12</v>
      </c>
      <c r="AD74">
        <v>17</v>
      </c>
      <c r="AE74" s="1">
        <v>43254</v>
      </c>
      <c r="AF74">
        <v>15</v>
      </c>
      <c r="AG74" s="1">
        <v>43254</v>
      </c>
      <c r="AH74">
        <v>389</v>
      </c>
      <c r="AI74">
        <v>225</v>
      </c>
      <c r="AJ74" s="3" t="s">
        <v>506</v>
      </c>
    </row>
    <row r="75" spans="1:36" ht="15">
      <c r="A75" t="str">
        <f t="shared" si="2"/>
        <v>0179</v>
      </c>
      <c r="B75" t="str">
        <f>"0201401945147"</f>
        <v>0201401945147</v>
      </c>
      <c r="C75" t="s">
        <v>126</v>
      </c>
      <c r="D75" t="s">
        <v>2</v>
      </c>
      <c r="E75" t="s">
        <v>8</v>
      </c>
      <c r="F75" t="s">
        <v>127</v>
      </c>
      <c r="G75" t="s">
        <v>31</v>
      </c>
      <c r="H75">
        <v>5.99</v>
      </c>
      <c r="I75">
        <v>76</v>
      </c>
      <c r="J75">
        <v>76</v>
      </c>
      <c r="K75" t="str">
        <f>"9781401945145"</f>
        <v>9781401945145</v>
      </c>
      <c r="L75">
        <v>135</v>
      </c>
      <c r="M75">
        <v>36.99</v>
      </c>
      <c r="N75">
        <v>203</v>
      </c>
      <c r="O75">
        <v>203</v>
      </c>
      <c r="P75">
        <v>14.05633</v>
      </c>
      <c r="Q75" s="1">
        <v>42846</v>
      </c>
      <c r="S75" s="3" t="s">
        <v>126</v>
      </c>
      <c r="T75" s="3" t="s">
        <v>1066</v>
      </c>
      <c r="U75" s="3" t="s">
        <v>1067</v>
      </c>
      <c r="V75" s="3" t="s">
        <v>506</v>
      </c>
      <c r="W75" s="3" t="s">
        <v>506</v>
      </c>
      <c r="X75" s="3" t="s">
        <v>1068</v>
      </c>
      <c r="Y75" s="3" t="s">
        <v>638</v>
      </c>
      <c r="Z75" s="3" t="s">
        <v>610</v>
      </c>
      <c r="AA75" s="3" t="s">
        <v>508</v>
      </c>
      <c r="AB75" s="3" t="s">
        <v>986</v>
      </c>
      <c r="AC75">
        <v>12</v>
      </c>
      <c r="AD75">
        <v>4</v>
      </c>
      <c r="AE75" s="1">
        <v>43254</v>
      </c>
      <c r="AF75">
        <v>1</v>
      </c>
      <c r="AG75" s="1">
        <v>43156</v>
      </c>
      <c r="AH75">
        <v>645</v>
      </c>
      <c r="AI75">
        <v>366</v>
      </c>
      <c r="AJ75" s="3" t="s">
        <v>506</v>
      </c>
    </row>
    <row r="76" spans="1:36" ht="15">
      <c r="A76" t="str">
        <f t="shared" si="2"/>
        <v>0179</v>
      </c>
      <c r="B76" t="str">
        <f>"0201401928157"</f>
        <v>0201401928157</v>
      </c>
      <c r="C76" t="s">
        <v>38</v>
      </c>
      <c r="D76" t="s">
        <v>2</v>
      </c>
      <c r="E76" t="s">
        <v>6</v>
      </c>
      <c r="F76" t="s">
        <v>39</v>
      </c>
      <c r="G76" t="s">
        <v>5</v>
      </c>
      <c r="H76">
        <v>2.99</v>
      </c>
      <c r="I76">
        <v>81</v>
      </c>
      <c r="J76">
        <v>81</v>
      </c>
      <c r="K76" t="str">
        <f>"9781401928155"</f>
        <v>9781401928155</v>
      </c>
      <c r="L76">
        <v>135</v>
      </c>
      <c r="M76">
        <v>15.99</v>
      </c>
      <c r="N76">
        <v>9</v>
      </c>
      <c r="O76">
        <v>9</v>
      </c>
      <c r="P76">
        <v>6.07818</v>
      </c>
      <c r="Q76" s="1">
        <v>42846</v>
      </c>
      <c r="S76" s="3" t="s">
        <v>38</v>
      </c>
      <c r="T76" s="3" t="s">
        <v>1069</v>
      </c>
      <c r="U76" s="3" t="s">
        <v>1070</v>
      </c>
      <c r="V76" s="3" t="s">
        <v>506</v>
      </c>
      <c r="W76" s="3" t="s">
        <v>506</v>
      </c>
      <c r="X76" s="3" t="s">
        <v>574</v>
      </c>
      <c r="Y76" s="3" t="s">
        <v>638</v>
      </c>
      <c r="Z76" s="3" t="s">
        <v>610</v>
      </c>
      <c r="AA76" s="3" t="s">
        <v>508</v>
      </c>
      <c r="AB76" s="3" t="s">
        <v>509</v>
      </c>
      <c r="AC76">
        <v>24</v>
      </c>
      <c r="AD76">
        <v>19</v>
      </c>
      <c r="AE76" s="1">
        <v>43254</v>
      </c>
      <c r="AF76">
        <v>15</v>
      </c>
      <c r="AG76" s="1">
        <v>43254</v>
      </c>
      <c r="AH76">
        <v>399</v>
      </c>
      <c r="AI76">
        <v>277</v>
      </c>
      <c r="AJ76" s="3" t="s">
        <v>506</v>
      </c>
    </row>
    <row r="77" spans="1:36" ht="15">
      <c r="A77" t="str">
        <f t="shared" si="2"/>
        <v>0179</v>
      </c>
      <c r="B77" t="str">
        <f>"0201401941484"</f>
        <v>0201401941484</v>
      </c>
      <c r="C77" t="s">
        <v>76</v>
      </c>
      <c r="D77" t="s">
        <v>2</v>
      </c>
      <c r="E77" t="s">
        <v>8</v>
      </c>
      <c r="F77" t="s">
        <v>77</v>
      </c>
      <c r="G77" t="s">
        <v>9</v>
      </c>
      <c r="H77">
        <v>4.99</v>
      </c>
      <c r="I77">
        <v>96</v>
      </c>
      <c r="J77">
        <v>96</v>
      </c>
      <c r="K77" t="str">
        <f>"9781401941482"</f>
        <v>9781401941482</v>
      </c>
      <c r="L77">
        <v>135</v>
      </c>
      <c r="M77">
        <v>25.95</v>
      </c>
      <c r="N77">
        <v>33</v>
      </c>
      <c r="O77">
        <v>33</v>
      </c>
      <c r="P77">
        <v>9.86069</v>
      </c>
      <c r="Q77" s="1">
        <v>42846</v>
      </c>
      <c r="S77" s="3" t="s">
        <v>76</v>
      </c>
      <c r="T77" s="3" t="s">
        <v>1071</v>
      </c>
      <c r="U77" s="3" t="s">
        <v>1072</v>
      </c>
      <c r="V77" s="3" t="s">
        <v>506</v>
      </c>
      <c r="W77" s="3" t="s">
        <v>506</v>
      </c>
      <c r="X77" s="3" t="s">
        <v>1042</v>
      </c>
      <c r="Y77" s="3" t="s">
        <v>638</v>
      </c>
      <c r="Z77" s="3" t="s">
        <v>610</v>
      </c>
      <c r="AA77" s="3" t="s">
        <v>508</v>
      </c>
      <c r="AB77" s="3" t="s">
        <v>509</v>
      </c>
      <c r="AC77">
        <v>12</v>
      </c>
      <c r="AD77">
        <v>8</v>
      </c>
      <c r="AE77" s="1">
        <v>43254</v>
      </c>
      <c r="AF77">
        <v>7</v>
      </c>
      <c r="AG77" s="1">
        <v>43254</v>
      </c>
      <c r="AH77">
        <v>719</v>
      </c>
      <c r="AI77">
        <v>436</v>
      </c>
      <c r="AJ77" s="3" t="s">
        <v>506</v>
      </c>
    </row>
    <row r="78" spans="1:36" ht="15">
      <c r="A78" t="str">
        <f t="shared" si="2"/>
        <v>0179</v>
      </c>
      <c r="B78" t="str">
        <f>"0221401943233"</f>
        <v>0221401943233</v>
      </c>
      <c r="C78" t="s">
        <v>428</v>
      </c>
      <c r="D78" t="s">
        <v>2</v>
      </c>
      <c r="E78" t="s">
        <v>6</v>
      </c>
      <c r="F78" t="s">
        <v>429</v>
      </c>
      <c r="G78" t="s">
        <v>31</v>
      </c>
      <c r="H78">
        <v>3.99</v>
      </c>
      <c r="I78">
        <v>108</v>
      </c>
      <c r="J78">
        <v>108</v>
      </c>
      <c r="K78" t="str">
        <f>"9781401943233"</f>
        <v>9781401943233</v>
      </c>
      <c r="L78">
        <v>135</v>
      </c>
      <c r="M78">
        <v>23.99</v>
      </c>
      <c r="N78">
        <v>2</v>
      </c>
      <c r="O78">
        <v>2</v>
      </c>
      <c r="P78">
        <v>9.11774</v>
      </c>
      <c r="Q78" s="1">
        <v>42846</v>
      </c>
      <c r="S78" s="3" t="s">
        <v>428</v>
      </c>
      <c r="T78" s="3" t="s">
        <v>1073</v>
      </c>
      <c r="U78" s="3" t="s">
        <v>506</v>
      </c>
      <c r="V78" s="3" t="s">
        <v>506</v>
      </c>
      <c r="W78" s="3" t="s">
        <v>506</v>
      </c>
      <c r="X78" s="3" t="s">
        <v>646</v>
      </c>
      <c r="Y78" s="3" t="s">
        <v>638</v>
      </c>
      <c r="Z78" s="3" t="s">
        <v>507</v>
      </c>
      <c r="AA78" s="3" t="s">
        <v>508</v>
      </c>
      <c r="AB78" s="3" t="s">
        <v>509</v>
      </c>
      <c r="AC78">
        <v>24</v>
      </c>
      <c r="AD78">
        <v>34</v>
      </c>
      <c r="AE78" s="1">
        <v>43254</v>
      </c>
      <c r="AF78">
        <v>34</v>
      </c>
      <c r="AG78" s="1">
        <v>43254</v>
      </c>
      <c r="AH78">
        <v>210</v>
      </c>
      <c r="AI78">
        <v>98</v>
      </c>
      <c r="AJ78" s="3" t="s">
        <v>506</v>
      </c>
    </row>
    <row r="79" spans="1:36" ht="15">
      <c r="A79" t="str">
        <f t="shared" si="2"/>
        <v>0179</v>
      </c>
      <c r="B79" t="str">
        <f>"0201781805420"</f>
        <v>0201781805420</v>
      </c>
      <c r="C79" t="s">
        <v>382</v>
      </c>
      <c r="D79" t="s">
        <v>2</v>
      </c>
      <c r="E79" t="s">
        <v>6</v>
      </c>
      <c r="F79" t="s">
        <v>383</v>
      </c>
      <c r="G79" t="s">
        <v>384</v>
      </c>
      <c r="H79">
        <v>3.99</v>
      </c>
      <c r="I79">
        <v>109</v>
      </c>
      <c r="J79">
        <v>109</v>
      </c>
      <c r="K79" t="str">
        <f>"9781781805428"</f>
        <v>9781781805428</v>
      </c>
      <c r="L79">
        <v>135</v>
      </c>
      <c r="M79">
        <v>23.99</v>
      </c>
      <c r="N79">
        <v>10</v>
      </c>
      <c r="O79">
        <v>10</v>
      </c>
      <c r="P79">
        <v>9.11593</v>
      </c>
      <c r="Q79" s="1">
        <v>42846</v>
      </c>
      <c r="S79" s="3" t="s">
        <v>382</v>
      </c>
      <c r="T79" s="3" t="s">
        <v>1074</v>
      </c>
      <c r="U79" s="3" t="s">
        <v>1075</v>
      </c>
      <c r="V79" s="3" t="s">
        <v>506</v>
      </c>
      <c r="W79" s="3" t="s">
        <v>506</v>
      </c>
      <c r="X79" s="3" t="s">
        <v>1076</v>
      </c>
      <c r="Y79" s="3" t="s">
        <v>638</v>
      </c>
      <c r="Z79" s="3" t="s">
        <v>610</v>
      </c>
      <c r="AA79" s="3" t="s">
        <v>508</v>
      </c>
      <c r="AB79" s="3" t="s">
        <v>868</v>
      </c>
      <c r="AC79">
        <v>30</v>
      </c>
      <c r="AD79">
        <v>1</v>
      </c>
      <c r="AE79" s="1">
        <v>43254</v>
      </c>
      <c r="AH79">
        <v>94</v>
      </c>
      <c r="AI79">
        <v>42</v>
      </c>
      <c r="AJ79" s="3" t="s">
        <v>506</v>
      </c>
    </row>
    <row r="80" spans="1:36" ht="15">
      <c r="A80" t="str">
        <f t="shared" si="2"/>
        <v>0179</v>
      </c>
      <c r="B80" t="str">
        <f>"0201401942481"</f>
        <v>0201401942481</v>
      </c>
      <c r="C80" t="s">
        <v>85</v>
      </c>
      <c r="D80" t="s">
        <v>2</v>
      </c>
      <c r="E80" t="s">
        <v>6</v>
      </c>
      <c r="F80" t="s">
        <v>86</v>
      </c>
      <c r="G80" t="s">
        <v>5</v>
      </c>
      <c r="H80">
        <v>3.99</v>
      </c>
      <c r="I80">
        <v>120</v>
      </c>
      <c r="J80">
        <v>120</v>
      </c>
      <c r="K80" t="str">
        <f>"9781401942489"</f>
        <v>9781401942489</v>
      </c>
      <c r="L80">
        <v>135</v>
      </c>
      <c r="M80">
        <v>22.5</v>
      </c>
      <c r="N80">
        <v>31</v>
      </c>
      <c r="O80">
        <v>31</v>
      </c>
      <c r="P80">
        <v>8.55</v>
      </c>
      <c r="Q80" s="1">
        <v>42846</v>
      </c>
      <c r="S80" s="3" t="s">
        <v>85</v>
      </c>
      <c r="T80" s="3" t="s">
        <v>1077</v>
      </c>
      <c r="U80" s="3" t="s">
        <v>1078</v>
      </c>
      <c r="V80" s="3" t="s">
        <v>506</v>
      </c>
      <c r="W80" s="3" t="s">
        <v>506</v>
      </c>
      <c r="X80" s="3" t="s">
        <v>673</v>
      </c>
      <c r="Y80" s="3" t="s">
        <v>638</v>
      </c>
      <c r="Z80" s="3" t="s">
        <v>610</v>
      </c>
      <c r="AA80" s="3" t="s">
        <v>508</v>
      </c>
      <c r="AB80" s="3" t="s">
        <v>905</v>
      </c>
      <c r="AC80">
        <v>24</v>
      </c>
      <c r="AD80">
        <v>1</v>
      </c>
      <c r="AE80" s="1">
        <v>43254</v>
      </c>
      <c r="AH80">
        <v>41</v>
      </c>
      <c r="AI80">
        <v>22</v>
      </c>
      <c r="AJ80" s="3" t="s">
        <v>506</v>
      </c>
    </row>
    <row r="81" spans="1:36" ht="15">
      <c r="A81" t="str">
        <f t="shared" si="2"/>
        <v>0179</v>
      </c>
      <c r="B81" t="str">
        <f>"0201401948391"</f>
        <v>0201401948391</v>
      </c>
      <c r="C81" t="s">
        <v>159</v>
      </c>
      <c r="D81" t="s">
        <v>2</v>
      </c>
      <c r="E81" t="s">
        <v>8</v>
      </c>
      <c r="F81" t="s">
        <v>160</v>
      </c>
      <c r="G81" t="s">
        <v>5</v>
      </c>
      <c r="H81">
        <v>3.99</v>
      </c>
      <c r="I81">
        <v>120</v>
      </c>
      <c r="J81">
        <v>120</v>
      </c>
      <c r="K81" t="str">
        <f>"9781401948399"</f>
        <v>9781401948399</v>
      </c>
      <c r="L81">
        <v>135</v>
      </c>
      <c r="M81">
        <v>23.99</v>
      </c>
      <c r="N81">
        <v>8</v>
      </c>
      <c r="O81">
        <v>8</v>
      </c>
      <c r="P81">
        <v>9.1162</v>
      </c>
      <c r="Q81" s="1">
        <v>42846</v>
      </c>
      <c r="S81" s="3" t="s">
        <v>159</v>
      </c>
      <c r="T81" s="3" t="s">
        <v>1079</v>
      </c>
      <c r="U81" s="3" t="s">
        <v>1080</v>
      </c>
      <c r="V81" s="3" t="s">
        <v>506</v>
      </c>
      <c r="W81" s="3" t="s">
        <v>506</v>
      </c>
      <c r="X81" s="3" t="s">
        <v>574</v>
      </c>
      <c r="Y81" s="3" t="s">
        <v>638</v>
      </c>
      <c r="Z81" s="3" t="s">
        <v>610</v>
      </c>
      <c r="AA81" s="3" t="s">
        <v>508</v>
      </c>
      <c r="AB81" s="3" t="s">
        <v>1053</v>
      </c>
      <c r="AC81">
        <v>12</v>
      </c>
      <c r="AD81">
        <v>4</v>
      </c>
      <c r="AE81" s="1">
        <v>42813</v>
      </c>
      <c r="AH81">
        <v>40</v>
      </c>
      <c r="AI81">
        <v>6</v>
      </c>
      <c r="AJ81" s="3" t="s">
        <v>506</v>
      </c>
    </row>
    <row r="82" spans="1:36" ht="15">
      <c r="A82" t="str">
        <f t="shared" si="2"/>
        <v>0179</v>
      </c>
      <c r="B82" t="str">
        <f>"0201781804966"</f>
        <v>0201781804966</v>
      </c>
      <c r="C82" t="s">
        <v>380</v>
      </c>
      <c r="D82" t="s">
        <v>2</v>
      </c>
      <c r="E82" t="s">
        <v>6</v>
      </c>
      <c r="F82" t="s">
        <v>381</v>
      </c>
      <c r="G82" t="s">
        <v>5</v>
      </c>
      <c r="H82">
        <v>3.75</v>
      </c>
      <c r="I82">
        <v>128</v>
      </c>
      <c r="J82">
        <v>128</v>
      </c>
      <c r="K82" t="str">
        <f>"9781781804964"</f>
        <v>9781781804964</v>
      </c>
      <c r="L82">
        <v>135</v>
      </c>
      <c r="M82">
        <v>20.99</v>
      </c>
      <c r="N82">
        <v>58</v>
      </c>
      <c r="O82">
        <v>58</v>
      </c>
      <c r="P82">
        <v>7.9767</v>
      </c>
      <c r="Q82" s="1">
        <v>42846</v>
      </c>
      <c r="S82" s="3" t="s">
        <v>380</v>
      </c>
      <c r="T82" s="3" t="s">
        <v>1081</v>
      </c>
      <c r="U82" s="3" t="s">
        <v>1082</v>
      </c>
      <c r="V82" s="3" t="s">
        <v>506</v>
      </c>
      <c r="W82" s="3" t="s">
        <v>506</v>
      </c>
      <c r="X82" s="3" t="s">
        <v>640</v>
      </c>
      <c r="Y82" s="3" t="s">
        <v>638</v>
      </c>
      <c r="Z82" s="3" t="s">
        <v>610</v>
      </c>
      <c r="AA82" s="3" t="s">
        <v>508</v>
      </c>
      <c r="AB82" s="3" t="s">
        <v>807</v>
      </c>
      <c r="AC82">
        <v>32</v>
      </c>
      <c r="AD82">
        <v>38</v>
      </c>
      <c r="AE82" s="1">
        <v>43254</v>
      </c>
      <c r="AF82">
        <v>35</v>
      </c>
      <c r="AG82" s="1">
        <v>43254</v>
      </c>
      <c r="AH82">
        <v>718</v>
      </c>
      <c r="AI82">
        <v>560</v>
      </c>
      <c r="AJ82" s="3" t="s">
        <v>506</v>
      </c>
    </row>
    <row r="83" spans="1:36" ht="15">
      <c r="A83" t="str">
        <f t="shared" si="2"/>
        <v>0179</v>
      </c>
      <c r="B83" t="str">
        <f>"0201401947578"</f>
        <v>0201401947578</v>
      </c>
      <c r="C83" t="s">
        <v>153</v>
      </c>
      <c r="D83" t="s">
        <v>2</v>
      </c>
      <c r="E83" t="s">
        <v>8</v>
      </c>
      <c r="F83" t="s">
        <v>154</v>
      </c>
      <c r="G83" t="s">
        <v>9</v>
      </c>
      <c r="H83">
        <v>5.99</v>
      </c>
      <c r="I83">
        <v>131</v>
      </c>
      <c r="J83">
        <v>131</v>
      </c>
      <c r="K83" t="str">
        <f>"9781401947576"</f>
        <v>9781401947576</v>
      </c>
      <c r="L83">
        <v>135</v>
      </c>
      <c r="M83">
        <v>37.99</v>
      </c>
      <c r="N83">
        <v>168</v>
      </c>
      <c r="O83">
        <v>168</v>
      </c>
      <c r="P83">
        <v>14.43657</v>
      </c>
      <c r="Q83" s="1">
        <v>42846</v>
      </c>
      <c r="S83" s="3" t="s">
        <v>153</v>
      </c>
      <c r="T83" s="3" t="s">
        <v>1083</v>
      </c>
      <c r="U83" s="3" t="s">
        <v>1084</v>
      </c>
      <c r="V83" s="3" t="s">
        <v>506</v>
      </c>
      <c r="W83" s="3" t="s">
        <v>506</v>
      </c>
      <c r="X83" s="3" t="s">
        <v>722</v>
      </c>
      <c r="Y83" s="3" t="s">
        <v>638</v>
      </c>
      <c r="Z83" s="3" t="s">
        <v>610</v>
      </c>
      <c r="AA83" s="3" t="s">
        <v>508</v>
      </c>
      <c r="AB83" s="3" t="s">
        <v>1053</v>
      </c>
      <c r="AC83">
        <v>12</v>
      </c>
      <c r="AD83">
        <v>33</v>
      </c>
      <c r="AE83" s="1">
        <v>43254</v>
      </c>
      <c r="AF83">
        <v>30</v>
      </c>
      <c r="AG83" s="1">
        <v>43254</v>
      </c>
      <c r="AH83">
        <v>765</v>
      </c>
      <c r="AI83">
        <v>625</v>
      </c>
      <c r="AJ83" s="3" t="s">
        <v>506</v>
      </c>
    </row>
    <row r="84" spans="1:36" ht="15">
      <c r="A84" t="str">
        <f t="shared" si="2"/>
        <v>0179</v>
      </c>
      <c r="B84" t="str">
        <f>"0201401950370"</f>
        <v>0201401950370</v>
      </c>
      <c r="C84" t="s">
        <v>178</v>
      </c>
      <c r="D84" t="s">
        <v>2</v>
      </c>
      <c r="E84" t="s">
        <v>8</v>
      </c>
      <c r="F84" t="s">
        <v>179</v>
      </c>
      <c r="G84" t="s">
        <v>7</v>
      </c>
      <c r="H84">
        <v>5.99</v>
      </c>
      <c r="I84">
        <v>143</v>
      </c>
      <c r="J84">
        <v>143</v>
      </c>
      <c r="K84" t="str">
        <f>"9781401950378"</f>
        <v>9781401950378</v>
      </c>
      <c r="L84">
        <v>135</v>
      </c>
      <c r="M84">
        <v>34.99</v>
      </c>
      <c r="N84">
        <v>34</v>
      </c>
      <c r="O84">
        <v>34</v>
      </c>
      <c r="P84">
        <v>13.29796</v>
      </c>
      <c r="Q84" s="1">
        <v>42846</v>
      </c>
      <c r="S84" s="3" t="s">
        <v>178</v>
      </c>
      <c r="T84" s="3" t="s">
        <v>1085</v>
      </c>
      <c r="U84" s="3" t="s">
        <v>1086</v>
      </c>
      <c r="V84" s="3" t="s">
        <v>506</v>
      </c>
      <c r="W84" s="3" t="s">
        <v>506</v>
      </c>
      <c r="X84" s="3" t="s">
        <v>1087</v>
      </c>
      <c r="Y84" s="3" t="s">
        <v>638</v>
      </c>
      <c r="Z84" s="3" t="s">
        <v>610</v>
      </c>
      <c r="AA84" s="3" t="s">
        <v>508</v>
      </c>
      <c r="AB84" s="3" t="s">
        <v>1053</v>
      </c>
      <c r="AC84">
        <v>12</v>
      </c>
      <c r="AD84">
        <v>18</v>
      </c>
      <c r="AE84" s="1">
        <v>43254</v>
      </c>
      <c r="AF84">
        <v>14</v>
      </c>
      <c r="AG84" s="1">
        <v>43254</v>
      </c>
      <c r="AH84">
        <v>1198</v>
      </c>
      <c r="AI84">
        <v>876</v>
      </c>
      <c r="AJ84" s="3" t="s">
        <v>506</v>
      </c>
    </row>
    <row r="85" spans="1:36" ht="15">
      <c r="A85" t="str">
        <f t="shared" si="2"/>
        <v>0179</v>
      </c>
      <c r="B85" t="str">
        <f>"0201401942467"</f>
        <v>0201401942467</v>
      </c>
      <c r="C85" t="s">
        <v>85</v>
      </c>
      <c r="D85" t="s">
        <v>2</v>
      </c>
      <c r="E85" t="s">
        <v>8</v>
      </c>
      <c r="F85" t="s">
        <v>86</v>
      </c>
      <c r="G85" t="s">
        <v>5</v>
      </c>
      <c r="H85">
        <v>5.99</v>
      </c>
      <c r="I85">
        <v>155</v>
      </c>
      <c r="J85">
        <v>155</v>
      </c>
      <c r="K85" t="str">
        <f>"9781401942465"</f>
        <v>9781401942465</v>
      </c>
      <c r="L85">
        <v>135</v>
      </c>
      <c r="M85">
        <v>36.99</v>
      </c>
      <c r="N85">
        <v>44</v>
      </c>
      <c r="O85">
        <v>44</v>
      </c>
      <c r="P85">
        <v>14.057</v>
      </c>
      <c r="Q85" s="1">
        <v>42846</v>
      </c>
      <c r="S85" s="3" t="s">
        <v>85</v>
      </c>
      <c r="T85" s="3" t="s">
        <v>1077</v>
      </c>
      <c r="U85" s="3" t="s">
        <v>1078</v>
      </c>
      <c r="V85" s="3" t="s">
        <v>506</v>
      </c>
      <c r="W85" s="3" t="s">
        <v>506</v>
      </c>
      <c r="X85" s="3" t="s">
        <v>673</v>
      </c>
      <c r="Y85" s="3" t="s">
        <v>638</v>
      </c>
      <c r="Z85" s="3" t="s">
        <v>610</v>
      </c>
      <c r="AA85" s="3" t="s">
        <v>508</v>
      </c>
      <c r="AB85" s="3" t="s">
        <v>807</v>
      </c>
      <c r="AC85">
        <v>12</v>
      </c>
      <c r="AD85">
        <v>4</v>
      </c>
      <c r="AE85" s="1">
        <v>43254</v>
      </c>
      <c r="AF85">
        <v>4</v>
      </c>
      <c r="AG85" s="1">
        <v>43254</v>
      </c>
      <c r="AH85">
        <v>178</v>
      </c>
      <c r="AI85">
        <v>118</v>
      </c>
      <c r="AJ85" s="3" t="s">
        <v>506</v>
      </c>
    </row>
    <row r="86" spans="1:36" ht="15">
      <c r="A86" t="str">
        <f t="shared" si="2"/>
        <v>0179</v>
      </c>
      <c r="B86" t="str">
        <f>"0221401948542"</f>
        <v>0221401948542</v>
      </c>
      <c r="C86" t="s">
        <v>445</v>
      </c>
      <c r="D86" t="s">
        <v>2</v>
      </c>
      <c r="E86" t="s">
        <v>73</v>
      </c>
      <c r="F86" t="s">
        <v>74</v>
      </c>
      <c r="G86" t="s">
        <v>75</v>
      </c>
      <c r="H86">
        <v>5</v>
      </c>
      <c r="I86">
        <v>156</v>
      </c>
      <c r="J86">
        <v>156</v>
      </c>
      <c r="K86" t="str">
        <f>"9781401948542"</f>
        <v>9781401948542</v>
      </c>
      <c r="L86">
        <v>135</v>
      </c>
      <c r="M86">
        <v>27.99</v>
      </c>
      <c r="N86">
        <v>0</v>
      </c>
      <c r="O86">
        <v>0</v>
      </c>
      <c r="P86">
        <v>10.6362</v>
      </c>
      <c r="Q86" s="1">
        <v>42846</v>
      </c>
      <c r="S86" s="3" t="s">
        <v>445</v>
      </c>
      <c r="T86" s="3" t="s">
        <v>1088</v>
      </c>
      <c r="U86" s="3" t="s">
        <v>1089</v>
      </c>
      <c r="V86" s="3" t="s">
        <v>506</v>
      </c>
      <c r="W86" s="3" t="s">
        <v>506</v>
      </c>
      <c r="X86" s="3" t="s">
        <v>609</v>
      </c>
      <c r="Y86" s="3" t="s">
        <v>638</v>
      </c>
      <c r="Z86" s="3" t="s">
        <v>507</v>
      </c>
      <c r="AA86" s="3" t="s">
        <v>508</v>
      </c>
      <c r="AB86" s="3" t="s">
        <v>868</v>
      </c>
      <c r="AC86">
        <v>12</v>
      </c>
      <c r="AD86">
        <v>0</v>
      </c>
      <c r="AE86" s="1">
        <v>42652</v>
      </c>
      <c r="AH86">
        <v>4</v>
      </c>
      <c r="AI86">
        <v>1</v>
      </c>
      <c r="AJ86" s="3" t="s">
        <v>506</v>
      </c>
    </row>
    <row r="87" spans="1:36" ht="15">
      <c r="A87" t="str">
        <f aca="true" t="shared" si="3" ref="A87:A110">"0179"</f>
        <v>0179</v>
      </c>
      <c r="B87" t="str">
        <f>"0201401943044"</f>
        <v>0201401943044</v>
      </c>
      <c r="C87" t="s">
        <v>98</v>
      </c>
      <c r="D87" t="s">
        <v>2</v>
      </c>
      <c r="E87" t="s">
        <v>6</v>
      </c>
      <c r="F87" t="s">
        <v>99</v>
      </c>
      <c r="G87" t="s">
        <v>5</v>
      </c>
      <c r="H87">
        <v>2.99</v>
      </c>
      <c r="I87">
        <v>168</v>
      </c>
      <c r="J87">
        <v>168</v>
      </c>
      <c r="K87" t="str">
        <f>"9781401943042"</f>
        <v>9781401943042</v>
      </c>
      <c r="L87">
        <v>135</v>
      </c>
      <c r="M87">
        <v>15.99</v>
      </c>
      <c r="N87">
        <v>61</v>
      </c>
      <c r="O87">
        <v>61</v>
      </c>
      <c r="P87">
        <v>6.07836</v>
      </c>
      <c r="Q87" s="1">
        <v>42846</v>
      </c>
      <c r="S87" s="3" t="s">
        <v>1090</v>
      </c>
      <c r="T87" s="3" t="s">
        <v>1091</v>
      </c>
      <c r="U87" s="3" t="s">
        <v>1092</v>
      </c>
      <c r="V87" s="3" t="s">
        <v>506</v>
      </c>
      <c r="W87" s="3" t="s">
        <v>506</v>
      </c>
      <c r="X87" s="3" t="s">
        <v>1093</v>
      </c>
      <c r="Y87" s="3" t="s">
        <v>638</v>
      </c>
      <c r="Z87" s="3" t="s">
        <v>610</v>
      </c>
      <c r="AA87" s="3" t="s">
        <v>508</v>
      </c>
      <c r="AB87" s="3" t="s">
        <v>509</v>
      </c>
      <c r="AC87">
        <v>24</v>
      </c>
      <c r="AD87">
        <v>30</v>
      </c>
      <c r="AE87" s="1">
        <v>43254</v>
      </c>
      <c r="AF87">
        <v>29</v>
      </c>
      <c r="AG87" s="1">
        <v>43254</v>
      </c>
      <c r="AH87">
        <v>1130</v>
      </c>
      <c r="AI87">
        <v>865</v>
      </c>
      <c r="AJ87" s="3" t="s">
        <v>506</v>
      </c>
    </row>
    <row r="88" spans="1:36" ht="15">
      <c r="A88" t="str">
        <f t="shared" si="3"/>
        <v>0179</v>
      </c>
      <c r="B88" t="str">
        <f>"0201401946335"</f>
        <v>0201401946335</v>
      </c>
      <c r="C88" t="s">
        <v>144</v>
      </c>
      <c r="D88" t="s">
        <v>2</v>
      </c>
      <c r="E88" t="s">
        <v>6</v>
      </c>
      <c r="F88" t="s">
        <v>145</v>
      </c>
      <c r="G88" t="s">
        <v>5</v>
      </c>
      <c r="H88">
        <v>2.99</v>
      </c>
      <c r="I88">
        <v>192</v>
      </c>
      <c r="J88">
        <v>192</v>
      </c>
      <c r="K88" t="str">
        <f>"9781401946333"</f>
        <v>9781401946333</v>
      </c>
      <c r="L88">
        <v>135</v>
      </c>
      <c r="M88">
        <v>14.95</v>
      </c>
      <c r="N88">
        <v>200</v>
      </c>
      <c r="O88">
        <v>200</v>
      </c>
      <c r="P88">
        <v>5.68</v>
      </c>
      <c r="Q88" s="1">
        <v>42846</v>
      </c>
      <c r="S88" s="3" t="s">
        <v>144</v>
      </c>
      <c r="T88" s="3" t="s">
        <v>1094</v>
      </c>
      <c r="U88" s="3" t="s">
        <v>506</v>
      </c>
      <c r="V88" s="3" t="s">
        <v>506</v>
      </c>
      <c r="W88" s="3" t="s">
        <v>506</v>
      </c>
      <c r="X88" s="3" t="s">
        <v>574</v>
      </c>
      <c r="Y88" s="3" t="s">
        <v>638</v>
      </c>
      <c r="Z88" s="3" t="s">
        <v>610</v>
      </c>
      <c r="AA88" s="3" t="s">
        <v>508</v>
      </c>
      <c r="AB88" s="3" t="s">
        <v>509</v>
      </c>
      <c r="AC88">
        <v>24</v>
      </c>
      <c r="AD88">
        <v>23</v>
      </c>
      <c r="AE88" s="1">
        <v>43254</v>
      </c>
      <c r="AF88">
        <v>20</v>
      </c>
      <c r="AG88" s="1">
        <v>43254</v>
      </c>
      <c r="AH88">
        <v>2302</v>
      </c>
      <c r="AI88">
        <v>2027</v>
      </c>
      <c r="AJ88" s="3" t="s">
        <v>506</v>
      </c>
    </row>
    <row r="89" spans="1:36" ht="15">
      <c r="A89" t="str">
        <f t="shared" si="3"/>
        <v>0179</v>
      </c>
      <c r="B89" t="str">
        <f>"0201401948698"</f>
        <v>0201401948698</v>
      </c>
      <c r="C89" t="s">
        <v>165</v>
      </c>
      <c r="D89" t="s">
        <v>2</v>
      </c>
      <c r="E89" t="s">
        <v>6</v>
      </c>
      <c r="F89" t="s">
        <v>166</v>
      </c>
      <c r="G89" t="s">
        <v>9</v>
      </c>
      <c r="H89">
        <v>3.99</v>
      </c>
      <c r="I89">
        <v>192</v>
      </c>
      <c r="J89">
        <v>192</v>
      </c>
      <c r="K89" t="str">
        <f>"9781401948696"</f>
        <v>9781401948696</v>
      </c>
      <c r="L89">
        <v>135</v>
      </c>
      <c r="M89">
        <v>22.5</v>
      </c>
      <c r="N89">
        <v>30</v>
      </c>
      <c r="O89">
        <v>30</v>
      </c>
      <c r="P89">
        <v>8.55</v>
      </c>
      <c r="Q89" s="1">
        <v>42846</v>
      </c>
      <c r="S89" s="3" t="s">
        <v>165</v>
      </c>
      <c r="T89" s="3" t="s">
        <v>1095</v>
      </c>
      <c r="U89" s="3" t="s">
        <v>1096</v>
      </c>
      <c r="V89" s="3" t="s">
        <v>506</v>
      </c>
      <c r="W89" s="3" t="s">
        <v>506</v>
      </c>
      <c r="X89" s="3" t="s">
        <v>1097</v>
      </c>
      <c r="Y89" s="3" t="s">
        <v>638</v>
      </c>
      <c r="Z89" s="3" t="s">
        <v>610</v>
      </c>
      <c r="AA89" s="3" t="s">
        <v>508</v>
      </c>
      <c r="AB89" s="3" t="s">
        <v>986</v>
      </c>
      <c r="AC89">
        <v>24</v>
      </c>
      <c r="AD89">
        <v>2</v>
      </c>
      <c r="AE89" s="1">
        <v>43254</v>
      </c>
      <c r="AH89">
        <v>143</v>
      </c>
      <c r="AI89">
        <v>52</v>
      </c>
      <c r="AJ89" s="3" t="s">
        <v>506</v>
      </c>
    </row>
    <row r="90" spans="1:36" ht="15">
      <c r="A90" t="str">
        <f t="shared" si="3"/>
        <v>0179</v>
      </c>
      <c r="B90" t="str">
        <f>"0201781805833"</f>
        <v>0201781805833</v>
      </c>
      <c r="C90" t="s">
        <v>385</v>
      </c>
      <c r="D90" t="s">
        <v>2</v>
      </c>
      <c r="E90" t="s">
        <v>6</v>
      </c>
      <c r="F90" t="s">
        <v>386</v>
      </c>
      <c r="G90" t="s">
        <v>5</v>
      </c>
      <c r="H90">
        <v>3.99</v>
      </c>
      <c r="I90">
        <v>210</v>
      </c>
      <c r="J90">
        <v>210</v>
      </c>
      <c r="K90" t="str">
        <f>"9781781805831"</f>
        <v>9781781805831</v>
      </c>
      <c r="L90">
        <v>135</v>
      </c>
      <c r="M90">
        <v>22.5</v>
      </c>
      <c r="N90">
        <v>46</v>
      </c>
      <c r="O90">
        <v>46</v>
      </c>
      <c r="P90">
        <v>8.55</v>
      </c>
      <c r="Q90" s="1">
        <v>42846</v>
      </c>
      <c r="S90" s="3" t="s">
        <v>385</v>
      </c>
      <c r="T90" s="3" t="s">
        <v>1098</v>
      </c>
      <c r="U90" s="3" t="s">
        <v>1099</v>
      </c>
      <c r="V90" s="3" t="s">
        <v>506</v>
      </c>
      <c r="W90" s="3" t="s">
        <v>506</v>
      </c>
      <c r="X90" s="3" t="s">
        <v>640</v>
      </c>
      <c r="Y90" s="3" t="s">
        <v>638</v>
      </c>
      <c r="Z90" s="3" t="s">
        <v>610</v>
      </c>
      <c r="AA90" s="3" t="s">
        <v>508</v>
      </c>
      <c r="AB90" s="3" t="s">
        <v>868</v>
      </c>
      <c r="AC90">
        <v>30</v>
      </c>
      <c r="AD90">
        <v>21</v>
      </c>
      <c r="AE90" s="1">
        <v>43254</v>
      </c>
      <c r="AF90">
        <v>21</v>
      </c>
      <c r="AG90" s="1">
        <v>43254</v>
      </c>
      <c r="AH90">
        <v>206</v>
      </c>
      <c r="AI90">
        <v>168</v>
      </c>
      <c r="AJ90" s="3" t="s">
        <v>506</v>
      </c>
    </row>
    <row r="91" spans="1:36" ht="15">
      <c r="A91" t="str">
        <f t="shared" si="3"/>
        <v>0179</v>
      </c>
      <c r="B91" t="str">
        <f>"0201401942283"</f>
        <v>0201401942283</v>
      </c>
      <c r="C91" t="s">
        <v>83</v>
      </c>
      <c r="D91" t="s">
        <v>2</v>
      </c>
      <c r="E91" t="s">
        <v>6</v>
      </c>
      <c r="F91" t="s">
        <v>84</v>
      </c>
      <c r="G91" t="s">
        <v>5</v>
      </c>
      <c r="H91">
        <v>3.99</v>
      </c>
      <c r="I91">
        <v>216</v>
      </c>
      <c r="J91">
        <v>216</v>
      </c>
      <c r="K91" t="str">
        <f>"9781401942281"</f>
        <v>9781401942281</v>
      </c>
      <c r="L91">
        <v>135</v>
      </c>
      <c r="M91">
        <v>23.99</v>
      </c>
      <c r="N91">
        <v>64</v>
      </c>
      <c r="O91">
        <v>64</v>
      </c>
      <c r="P91">
        <v>9.11651</v>
      </c>
      <c r="Q91" s="1">
        <v>42846</v>
      </c>
      <c r="S91" s="3" t="s">
        <v>83</v>
      </c>
      <c r="T91" s="3" t="s">
        <v>810</v>
      </c>
      <c r="U91" s="3" t="s">
        <v>811</v>
      </c>
      <c r="V91" s="3" t="s">
        <v>506</v>
      </c>
      <c r="W91" s="3" t="s">
        <v>506</v>
      </c>
      <c r="X91" s="3" t="s">
        <v>738</v>
      </c>
      <c r="Y91" s="3" t="s">
        <v>638</v>
      </c>
      <c r="Z91" s="3" t="s">
        <v>610</v>
      </c>
      <c r="AA91" s="3" t="s">
        <v>508</v>
      </c>
      <c r="AB91" s="3" t="s">
        <v>868</v>
      </c>
      <c r="AC91">
        <v>24</v>
      </c>
      <c r="AD91">
        <v>9</v>
      </c>
      <c r="AE91" s="1">
        <v>43254</v>
      </c>
      <c r="AF91">
        <v>5</v>
      </c>
      <c r="AG91" s="1">
        <v>43254</v>
      </c>
      <c r="AH91">
        <v>184</v>
      </c>
      <c r="AI91">
        <v>92</v>
      </c>
      <c r="AJ91" s="3" t="s">
        <v>506</v>
      </c>
    </row>
    <row r="92" spans="1:36" ht="15">
      <c r="A92" t="str">
        <f t="shared" si="3"/>
        <v>0179</v>
      </c>
      <c r="B92" t="str">
        <f>"0201401944119"</f>
        <v>0201401944119</v>
      </c>
      <c r="C92" t="s">
        <v>111</v>
      </c>
      <c r="D92" t="s">
        <v>2</v>
      </c>
      <c r="E92" t="s">
        <v>8</v>
      </c>
      <c r="F92" t="s">
        <v>112</v>
      </c>
      <c r="G92" t="s">
        <v>5</v>
      </c>
      <c r="H92">
        <v>3.99</v>
      </c>
      <c r="I92">
        <v>252</v>
      </c>
      <c r="J92">
        <v>252</v>
      </c>
      <c r="K92" t="str">
        <f>"9781401944117"</f>
        <v>9781401944117</v>
      </c>
      <c r="L92">
        <v>135</v>
      </c>
      <c r="M92">
        <v>19.99</v>
      </c>
      <c r="N92">
        <v>10</v>
      </c>
      <c r="O92">
        <v>10</v>
      </c>
      <c r="P92">
        <v>7.59583</v>
      </c>
      <c r="Q92" s="1">
        <v>42846</v>
      </c>
      <c r="S92" s="3" t="s">
        <v>111</v>
      </c>
      <c r="T92" s="3" t="s">
        <v>1100</v>
      </c>
      <c r="U92" s="3" t="s">
        <v>1101</v>
      </c>
      <c r="V92" s="3" t="s">
        <v>506</v>
      </c>
      <c r="W92" s="3" t="s">
        <v>506</v>
      </c>
      <c r="X92" s="3" t="s">
        <v>673</v>
      </c>
      <c r="Y92" s="3" t="s">
        <v>638</v>
      </c>
      <c r="Z92" s="3" t="s">
        <v>610</v>
      </c>
      <c r="AA92" s="3" t="s">
        <v>508</v>
      </c>
      <c r="AB92" s="3" t="s">
        <v>509</v>
      </c>
      <c r="AC92">
        <v>12</v>
      </c>
      <c r="AD92">
        <v>1</v>
      </c>
      <c r="AE92" s="1">
        <v>42750</v>
      </c>
      <c r="AF92">
        <v>1</v>
      </c>
      <c r="AG92" s="1">
        <v>42750</v>
      </c>
      <c r="AH92">
        <v>692</v>
      </c>
      <c r="AI92">
        <v>531</v>
      </c>
      <c r="AJ92" s="3" t="s">
        <v>506</v>
      </c>
    </row>
    <row r="93" spans="1:36" ht="15">
      <c r="A93" t="str">
        <f t="shared" si="3"/>
        <v>0179</v>
      </c>
      <c r="B93" t="str">
        <f>"0201781805970"</f>
        <v>0201781805970</v>
      </c>
      <c r="C93" t="s">
        <v>387</v>
      </c>
      <c r="D93" t="s">
        <v>2</v>
      </c>
      <c r="E93" t="s">
        <v>6</v>
      </c>
      <c r="F93" t="s">
        <v>388</v>
      </c>
      <c r="G93" t="s">
        <v>31</v>
      </c>
      <c r="H93">
        <v>3.99</v>
      </c>
      <c r="I93">
        <v>258</v>
      </c>
      <c r="J93">
        <v>258</v>
      </c>
      <c r="K93" t="str">
        <f>"9781781805978"</f>
        <v>9781781805978</v>
      </c>
      <c r="L93">
        <v>135</v>
      </c>
      <c r="M93">
        <v>22.5</v>
      </c>
      <c r="N93">
        <v>23</v>
      </c>
      <c r="O93">
        <v>23</v>
      </c>
      <c r="P93">
        <v>8.55</v>
      </c>
      <c r="Q93" s="1">
        <v>42846</v>
      </c>
      <c r="S93" s="3" t="s">
        <v>387</v>
      </c>
      <c r="T93" s="3" t="s">
        <v>1102</v>
      </c>
      <c r="U93" s="3" t="s">
        <v>1103</v>
      </c>
      <c r="V93" s="3" t="s">
        <v>506</v>
      </c>
      <c r="W93" s="3" t="s">
        <v>506</v>
      </c>
      <c r="X93" s="3" t="s">
        <v>1068</v>
      </c>
      <c r="Y93" s="3" t="s">
        <v>638</v>
      </c>
      <c r="Z93" s="3" t="s">
        <v>610</v>
      </c>
      <c r="AA93" s="3" t="s">
        <v>508</v>
      </c>
      <c r="AB93" s="3" t="s">
        <v>1053</v>
      </c>
      <c r="AC93">
        <v>26</v>
      </c>
      <c r="AD93">
        <v>1</v>
      </c>
      <c r="AE93" s="1">
        <v>43254</v>
      </c>
      <c r="AH93">
        <v>53</v>
      </c>
      <c r="AI93">
        <v>30</v>
      </c>
      <c r="AJ93" s="3" t="s">
        <v>506</v>
      </c>
    </row>
    <row r="94" spans="1:36" ht="15">
      <c r="A94" t="str">
        <f t="shared" si="3"/>
        <v>0179</v>
      </c>
      <c r="B94" t="str">
        <f>"0201604152533"</f>
        <v>0201604152533</v>
      </c>
      <c r="C94" t="s">
        <v>329</v>
      </c>
      <c r="D94" t="s">
        <v>2</v>
      </c>
      <c r="E94" t="s">
        <v>6</v>
      </c>
      <c r="F94" t="s">
        <v>330</v>
      </c>
      <c r="G94" t="s">
        <v>10</v>
      </c>
      <c r="H94">
        <v>2.99</v>
      </c>
      <c r="I94">
        <v>260</v>
      </c>
      <c r="J94">
        <v>260</v>
      </c>
      <c r="K94" t="str">
        <f>"9781604152531"</f>
        <v>9781604152531</v>
      </c>
      <c r="L94">
        <v>135</v>
      </c>
      <c r="M94">
        <v>14.95</v>
      </c>
      <c r="N94">
        <v>120</v>
      </c>
      <c r="O94">
        <v>120</v>
      </c>
      <c r="P94">
        <v>5.68078</v>
      </c>
      <c r="Q94" s="1">
        <v>42846</v>
      </c>
      <c r="S94" s="3" t="s">
        <v>329</v>
      </c>
      <c r="T94" s="3" t="s">
        <v>1104</v>
      </c>
      <c r="U94" s="3" t="s">
        <v>1105</v>
      </c>
      <c r="V94" s="3" t="s">
        <v>506</v>
      </c>
      <c r="W94" s="3" t="s">
        <v>1106</v>
      </c>
      <c r="X94" s="3" t="s">
        <v>1107</v>
      </c>
      <c r="Y94" s="3" t="s">
        <v>638</v>
      </c>
      <c r="Z94" s="3" t="s">
        <v>610</v>
      </c>
      <c r="AA94" s="3" t="s">
        <v>508</v>
      </c>
      <c r="AB94" s="3" t="s">
        <v>868</v>
      </c>
      <c r="AC94">
        <v>52</v>
      </c>
      <c r="AD94">
        <v>3</v>
      </c>
      <c r="AE94" s="1">
        <v>43254</v>
      </c>
      <c r="AF94">
        <v>3</v>
      </c>
      <c r="AG94" s="1">
        <v>43254</v>
      </c>
      <c r="AH94">
        <v>110</v>
      </c>
      <c r="AI94">
        <v>76</v>
      </c>
      <c r="AJ94" s="3" t="s">
        <v>506</v>
      </c>
    </row>
    <row r="95" spans="1:36" ht="15">
      <c r="A95" t="str">
        <f t="shared" si="3"/>
        <v>0179</v>
      </c>
      <c r="B95" t="str">
        <f>"0201401943303"</f>
        <v>0201401943303</v>
      </c>
      <c r="C95" t="s">
        <v>102</v>
      </c>
      <c r="D95" t="s">
        <v>2</v>
      </c>
      <c r="E95" t="s">
        <v>6</v>
      </c>
      <c r="F95" t="s">
        <v>42</v>
      </c>
      <c r="G95" t="s">
        <v>9</v>
      </c>
      <c r="H95">
        <v>5</v>
      </c>
      <c r="I95">
        <v>264</v>
      </c>
      <c r="J95">
        <v>264</v>
      </c>
      <c r="K95" t="str">
        <f>"9781401943301"</f>
        <v>9781401943301</v>
      </c>
      <c r="L95">
        <v>135</v>
      </c>
      <c r="M95">
        <v>27.99</v>
      </c>
      <c r="N95">
        <v>561</v>
      </c>
      <c r="O95">
        <v>561</v>
      </c>
      <c r="P95">
        <v>10.63636</v>
      </c>
      <c r="Q95" s="1">
        <v>42846</v>
      </c>
      <c r="S95" s="3" t="s">
        <v>102</v>
      </c>
      <c r="T95" s="3" t="s">
        <v>804</v>
      </c>
      <c r="U95" s="3" t="s">
        <v>805</v>
      </c>
      <c r="V95" s="3" t="s">
        <v>506</v>
      </c>
      <c r="W95" s="3" t="s">
        <v>506</v>
      </c>
      <c r="X95" s="3" t="s">
        <v>806</v>
      </c>
      <c r="Y95" s="3" t="s">
        <v>638</v>
      </c>
      <c r="Z95" s="3" t="s">
        <v>610</v>
      </c>
      <c r="AA95" s="3" t="s">
        <v>508</v>
      </c>
      <c r="AB95" s="3" t="s">
        <v>807</v>
      </c>
      <c r="AC95">
        <v>24</v>
      </c>
      <c r="AD95">
        <v>23</v>
      </c>
      <c r="AE95" s="1">
        <v>43254</v>
      </c>
      <c r="AF95">
        <v>19</v>
      </c>
      <c r="AG95" s="1">
        <v>43254</v>
      </c>
      <c r="AH95">
        <v>919</v>
      </c>
      <c r="AI95">
        <v>737</v>
      </c>
      <c r="AJ95" s="3" t="s">
        <v>506</v>
      </c>
    </row>
    <row r="96" spans="1:36" ht="15">
      <c r="A96" t="str">
        <f t="shared" si="3"/>
        <v>0179</v>
      </c>
      <c r="B96" t="str">
        <f>"0201781806670"</f>
        <v>0201781806670</v>
      </c>
      <c r="C96" t="s">
        <v>389</v>
      </c>
      <c r="D96" t="s">
        <v>2</v>
      </c>
      <c r="E96" t="s">
        <v>6</v>
      </c>
      <c r="F96" t="s">
        <v>390</v>
      </c>
      <c r="G96" t="s">
        <v>31</v>
      </c>
      <c r="H96">
        <v>3.99</v>
      </c>
      <c r="I96">
        <v>286</v>
      </c>
      <c r="J96">
        <v>286</v>
      </c>
      <c r="K96" t="str">
        <f>"9781781806678"</f>
        <v>9781781806678</v>
      </c>
      <c r="L96">
        <v>135</v>
      </c>
      <c r="M96">
        <v>22.5</v>
      </c>
      <c r="N96">
        <v>73</v>
      </c>
      <c r="O96">
        <v>73</v>
      </c>
      <c r="P96">
        <v>8.55</v>
      </c>
      <c r="Q96" s="1">
        <v>42846</v>
      </c>
      <c r="S96" s="3" t="s">
        <v>389</v>
      </c>
      <c r="T96" s="3" t="s">
        <v>1108</v>
      </c>
      <c r="U96" s="3" t="s">
        <v>1109</v>
      </c>
      <c r="V96" s="3" t="s">
        <v>506</v>
      </c>
      <c r="W96" s="3" t="s">
        <v>506</v>
      </c>
      <c r="X96" s="3" t="s">
        <v>1038</v>
      </c>
      <c r="Y96" s="3" t="s">
        <v>638</v>
      </c>
      <c r="Z96" s="3" t="s">
        <v>610</v>
      </c>
      <c r="AA96" s="3" t="s">
        <v>508</v>
      </c>
      <c r="AB96" s="3" t="s">
        <v>1053</v>
      </c>
      <c r="AC96">
        <v>26</v>
      </c>
      <c r="AD96">
        <v>12</v>
      </c>
      <c r="AE96" s="1">
        <v>43254</v>
      </c>
      <c r="AF96">
        <v>12</v>
      </c>
      <c r="AG96" s="1">
        <v>43254</v>
      </c>
      <c r="AH96">
        <v>193</v>
      </c>
      <c r="AI96">
        <v>163</v>
      </c>
      <c r="AJ96" s="3" t="s">
        <v>506</v>
      </c>
    </row>
    <row r="97" spans="1:36" ht="15">
      <c r="A97" t="str">
        <f t="shared" si="3"/>
        <v>0179</v>
      </c>
      <c r="B97" t="str">
        <f>"0201401947868"</f>
        <v>0201401947868</v>
      </c>
      <c r="C97" t="s">
        <v>157</v>
      </c>
      <c r="D97" t="s">
        <v>2</v>
      </c>
      <c r="E97" t="s">
        <v>6</v>
      </c>
      <c r="F97" t="s">
        <v>158</v>
      </c>
      <c r="G97" t="s">
        <v>31</v>
      </c>
      <c r="H97">
        <v>3.75</v>
      </c>
      <c r="I97">
        <v>288</v>
      </c>
      <c r="J97">
        <v>288</v>
      </c>
      <c r="K97" t="str">
        <f>"9781401947866"</f>
        <v>9781401947866</v>
      </c>
      <c r="L97">
        <v>135</v>
      </c>
      <c r="M97">
        <v>20.99</v>
      </c>
      <c r="N97">
        <v>123</v>
      </c>
      <c r="O97">
        <v>123</v>
      </c>
      <c r="P97">
        <v>7.97669</v>
      </c>
      <c r="Q97" s="1">
        <v>42846</v>
      </c>
      <c r="S97" s="3" t="s">
        <v>157</v>
      </c>
      <c r="T97" s="3" t="s">
        <v>1110</v>
      </c>
      <c r="U97" s="3" t="s">
        <v>1111</v>
      </c>
      <c r="V97" s="3" t="s">
        <v>506</v>
      </c>
      <c r="W97" s="3" t="s">
        <v>506</v>
      </c>
      <c r="X97" s="3" t="s">
        <v>646</v>
      </c>
      <c r="Y97" s="3" t="s">
        <v>638</v>
      </c>
      <c r="Z97" s="3" t="s">
        <v>610</v>
      </c>
      <c r="AA97" s="3" t="s">
        <v>508</v>
      </c>
      <c r="AB97" s="3" t="s">
        <v>868</v>
      </c>
      <c r="AC97">
        <v>24</v>
      </c>
      <c r="AD97">
        <v>35</v>
      </c>
      <c r="AE97" s="1">
        <v>43254</v>
      </c>
      <c r="AF97">
        <v>33</v>
      </c>
      <c r="AG97" s="1">
        <v>43254</v>
      </c>
      <c r="AH97">
        <v>592</v>
      </c>
      <c r="AI97">
        <v>458</v>
      </c>
      <c r="AJ97" s="3" t="s">
        <v>506</v>
      </c>
    </row>
    <row r="98" spans="1:36" ht="15">
      <c r="A98" t="str">
        <f t="shared" si="3"/>
        <v>0179</v>
      </c>
      <c r="B98" t="str">
        <f>"0201401944539"</f>
        <v>0201401944539</v>
      </c>
      <c r="C98" t="s">
        <v>122</v>
      </c>
      <c r="D98" t="s">
        <v>2</v>
      </c>
      <c r="E98" t="s">
        <v>8</v>
      </c>
      <c r="F98" t="s">
        <v>121</v>
      </c>
      <c r="G98" t="s">
        <v>31</v>
      </c>
      <c r="H98">
        <v>5</v>
      </c>
      <c r="I98">
        <v>300</v>
      </c>
      <c r="J98">
        <v>300</v>
      </c>
      <c r="K98" t="str">
        <f>"9781401944537"</f>
        <v>9781401944537</v>
      </c>
      <c r="L98">
        <v>135</v>
      </c>
      <c r="M98">
        <v>27.99</v>
      </c>
      <c r="N98">
        <v>267</v>
      </c>
      <c r="O98">
        <v>267</v>
      </c>
      <c r="P98">
        <v>10.63638</v>
      </c>
      <c r="Q98" s="1">
        <v>42846</v>
      </c>
      <c r="S98" s="3" t="s">
        <v>122</v>
      </c>
      <c r="T98" s="3" t="s">
        <v>1112</v>
      </c>
      <c r="U98" s="3" t="s">
        <v>1113</v>
      </c>
      <c r="V98" s="3" t="s">
        <v>506</v>
      </c>
      <c r="W98" s="3" t="s">
        <v>506</v>
      </c>
      <c r="X98" s="3" t="s">
        <v>1114</v>
      </c>
      <c r="Y98" s="3" t="s">
        <v>638</v>
      </c>
      <c r="Z98" s="3" t="s">
        <v>610</v>
      </c>
      <c r="AA98" s="3" t="s">
        <v>508</v>
      </c>
      <c r="AB98" s="3" t="s">
        <v>868</v>
      </c>
      <c r="AC98">
        <v>12</v>
      </c>
      <c r="AD98">
        <v>42</v>
      </c>
      <c r="AE98" s="1">
        <v>43254</v>
      </c>
      <c r="AF98">
        <v>39</v>
      </c>
      <c r="AG98" s="1">
        <v>43254</v>
      </c>
      <c r="AH98">
        <v>1482</v>
      </c>
      <c r="AI98">
        <v>970</v>
      </c>
      <c r="AJ98" s="3" t="s">
        <v>506</v>
      </c>
    </row>
    <row r="99" spans="1:36" ht="15">
      <c r="A99" t="str">
        <f t="shared" si="3"/>
        <v>0179</v>
      </c>
      <c r="B99" t="str">
        <f>"0201401946359"</f>
        <v>0201401946359</v>
      </c>
      <c r="C99" t="s">
        <v>146</v>
      </c>
      <c r="D99" t="s">
        <v>2</v>
      </c>
      <c r="E99" t="s">
        <v>6</v>
      </c>
      <c r="F99" t="s">
        <v>147</v>
      </c>
      <c r="G99" t="s">
        <v>75</v>
      </c>
      <c r="H99">
        <v>3.99</v>
      </c>
      <c r="I99">
        <v>312</v>
      </c>
      <c r="J99">
        <v>312</v>
      </c>
      <c r="K99" t="str">
        <f>"9781401946357"</f>
        <v>9781401946357</v>
      </c>
      <c r="L99">
        <v>135</v>
      </c>
      <c r="M99">
        <v>23.99</v>
      </c>
      <c r="N99">
        <v>25</v>
      </c>
      <c r="O99">
        <v>25</v>
      </c>
      <c r="P99">
        <v>9.1161</v>
      </c>
      <c r="Q99" s="1">
        <v>42846</v>
      </c>
      <c r="S99" s="3" t="s">
        <v>146</v>
      </c>
      <c r="T99" s="3" t="s">
        <v>1115</v>
      </c>
      <c r="U99" s="3" t="s">
        <v>1116</v>
      </c>
      <c r="V99" s="3" t="s">
        <v>506</v>
      </c>
      <c r="W99" s="3" t="s">
        <v>506</v>
      </c>
      <c r="X99" s="3" t="s">
        <v>609</v>
      </c>
      <c r="Y99" s="3" t="s">
        <v>638</v>
      </c>
      <c r="Z99" s="3" t="s">
        <v>610</v>
      </c>
      <c r="AA99" s="3" t="s">
        <v>508</v>
      </c>
      <c r="AB99" s="3" t="s">
        <v>986</v>
      </c>
      <c r="AC99">
        <v>24</v>
      </c>
      <c r="AD99">
        <v>2</v>
      </c>
      <c r="AE99" s="1">
        <v>43128</v>
      </c>
      <c r="AH99">
        <v>11</v>
      </c>
      <c r="AI99">
        <v>4</v>
      </c>
      <c r="AJ99" s="3" t="s">
        <v>506</v>
      </c>
    </row>
    <row r="100" spans="1:36" ht="15">
      <c r="A100" t="str">
        <f t="shared" si="3"/>
        <v>0179</v>
      </c>
      <c r="B100" t="str">
        <f>"0201401944638"</f>
        <v>0201401944638</v>
      </c>
      <c r="C100" t="s">
        <v>118</v>
      </c>
      <c r="D100" t="s">
        <v>2</v>
      </c>
      <c r="E100" t="s">
        <v>6</v>
      </c>
      <c r="F100" t="s">
        <v>119</v>
      </c>
      <c r="G100" t="s">
        <v>9</v>
      </c>
      <c r="H100">
        <v>3.99</v>
      </c>
      <c r="I100">
        <v>384</v>
      </c>
      <c r="J100">
        <v>384</v>
      </c>
      <c r="K100" t="str">
        <f>"9781401944636"</f>
        <v>9781401944636</v>
      </c>
      <c r="L100">
        <v>135</v>
      </c>
      <c r="M100">
        <v>23.99</v>
      </c>
      <c r="N100">
        <v>175</v>
      </c>
      <c r="O100">
        <v>175</v>
      </c>
      <c r="P100">
        <v>9.1169</v>
      </c>
      <c r="Q100" s="1">
        <v>42846</v>
      </c>
      <c r="S100" s="3" t="s">
        <v>118</v>
      </c>
      <c r="T100" s="3" t="s">
        <v>1117</v>
      </c>
      <c r="U100" s="3" t="s">
        <v>506</v>
      </c>
      <c r="V100" s="3" t="s">
        <v>506</v>
      </c>
      <c r="W100" s="3" t="s">
        <v>506</v>
      </c>
      <c r="X100" s="3" t="s">
        <v>806</v>
      </c>
      <c r="Y100" s="3" t="s">
        <v>638</v>
      </c>
      <c r="Z100" s="3" t="s">
        <v>610</v>
      </c>
      <c r="AA100" s="3" t="s">
        <v>508</v>
      </c>
      <c r="AB100" s="3" t="s">
        <v>905</v>
      </c>
      <c r="AC100">
        <v>24</v>
      </c>
      <c r="AD100">
        <v>30</v>
      </c>
      <c r="AE100" s="1">
        <v>43254</v>
      </c>
      <c r="AF100">
        <v>25</v>
      </c>
      <c r="AG100" s="1">
        <v>43254</v>
      </c>
      <c r="AH100">
        <v>318</v>
      </c>
      <c r="AI100">
        <v>239</v>
      </c>
      <c r="AJ100" s="3" t="s">
        <v>506</v>
      </c>
    </row>
    <row r="101" spans="1:36" ht="15">
      <c r="A101" t="str">
        <f t="shared" si="3"/>
        <v>0179</v>
      </c>
      <c r="B101" t="str">
        <f>"0201401945697"</f>
        <v>0201401945697</v>
      </c>
      <c r="C101" t="s">
        <v>134</v>
      </c>
      <c r="D101" t="s">
        <v>2</v>
      </c>
      <c r="E101" t="s">
        <v>6</v>
      </c>
      <c r="F101" t="s">
        <v>135</v>
      </c>
      <c r="G101" t="s">
        <v>9</v>
      </c>
      <c r="H101">
        <v>3.99</v>
      </c>
      <c r="I101">
        <v>431</v>
      </c>
      <c r="J101">
        <v>431</v>
      </c>
      <c r="K101" t="str">
        <f>"9781401945695"</f>
        <v>9781401945695</v>
      </c>
      <c r="L101">
        <v>135</v>
      </c>
      <c r="M101">
        <v>22.5</v>
      </c>
      <c r="N101">
        <v>42</v>
      </c>
      <c r="O101">
        <v>42</v>
      </c>
      <c r="P101">
        <v>8.55</v>
      </c>
      <c r="Q101" s="1">
        <v>42846</v>
      </c>
      <c r="S101" s="3" t="s">
        <v>134</v>
      </c>
      <c r="T101" s="3" t="s">
        <v>744</v>
      </c>
      <c r="U101" s="3" t="s">
        <v>745</v>
      </c>
      <c r="V101" s="3" t="s">
        <v>506</v>
      </c>
      <c r="W101" s="3" t="s">
        <v>506</v>
      </c>
      <c r="X101" s="3" t="s">
        <v>1118</v>
      </c>
      <c r="Y101" s="3" t="s">
        <v>638</v>
      </c>
      <c r="Z101" s="3" t="s">
        <v>610</v>
      </c>
      <c r="AA101" s="3" t="s">
        <v>508</v>
      </c>
      <c r="AB101" s="3" t="s">
        <v>868</v>
      </c>
      <c r="AC101">
        <v>24</v>
      </c>
      <c r="AD101">
        <v>16</v>
      </c>
      <c r="AE101" s="1">
        <v>43254</v>
      </c>
      <c r="AF101">
        <v>12</v>
      </c>
      <c r="AG101" s="1">
        <v>43254</v>
      </c>
      <c r="AH101">
        <v>274</v>
      </c>
      <c r="AI101">
        <v>116</v>
      </c>
      <c r="AJ101" s="3" t="s">
        <v>506</v>
      </c>
    </row>
    <row r="102" spans="1:36" ht="15">
      <c r="A102" t="str">
        <f t="shared" si="3"/>
        <v>0179</v>
      </c>
      <c r="B102" t="str">
        <f>"0221401947248"</f>
        <v>0221401947248</v>
      </c>
      <c r="C102" t="s">
        <v>441</v>
      </c>
      <c r="D102" t="s">
        <v>2</v>
      </c>
      <c r="E102" t="s">
        <v>8</v>
      </c>
      <c r="F102" t="s">
        <v>442</v>
      </c>
      <c r="G102" t="s">
        <v>9</v>
      </c>
      <c r="H102">
        <v>5.99</v>
      </c>
      <c r="I102">
        <v>502</v>
      </c>
      <c r="J102">
        <v>502</v>
      </c>
      <c r="K102" t="str">
        <f>"9781401947248"</f>
        <v>9781401947248</v>
      </c>
      <c r="L102">
        <v>135</v>
      </c>
      <c r="M102">
        <v>36.99</v>
      </c>
      <c r="N102">
        <v>59</v>
      </c>
      <c r="O102">
        <v>59</v>
      </c>
      <c r="P102">
        <v>14.05715</v>
      </c>
      <c r="Q102" s="1">
        <v>42846</v>
      </c>
      <c r="S102" s="3" t="s">
        <v>441</v>
      </c>
      <c r="T102" s="3" t="s">
        <v>1119</v>
      </c>
      <c r="U102" s="3" t="s">
        <v>1120</v>
      </c>
      <c r="V102" s="3" t="s">
        <v>506</v>
      </c>
      <c r="W102" s="3" t="s">
        <v>506</v>
      </c>
      <c r="X102" s="3" t="s">
        <v>1121</v>
      </c>
      <c r="Y102" s="3" t="s">
        <v>638</v>
      </c>
      <c r="Z102" s="3" t="s">
        <v>507</v>
      </c>
      <c r="AA102" s="3" t="s">
        <v>508</v>
      </c>
      <c r="AB102" s="3" t="s">
        <v>807</v>
      </c>
      <c r="AC102">
        <v>12</v>
      </c>
      <c r="AD102">
        <v>13</v>
      </c>
      <c r="AE102" s="1">
        <v>43254</v>
      </c>
      <c r="AF102">
        <v>13</v>
      </c>
      <c r="AG102" s="1">
        <v>43254</v>
      </c>
      <c r="AH102">
        <v>974</v>
      </c>
      <c r="AI102">
        <v>600</v>
      </c>
      <c r="AJ102" s="3" t="s">
        <v>506</v>
      </c>
    </row>
    <row r="103" spans="1:36" ht="15">
      <c r="A103" t="str">
        <f t="shared" si="3"/>
        <v>0179</v>
      </c>
      <c r="B103" t="str">
        <f>"0201401948445"</f>
        <v>0201401948445</v>
      </c>
      <c r="C103" t="s">
        <v>161</v>
      </c>
      <c r="D103" t="s">
        <v>2</v>
      </c>
      <c r="E103" t="s">
        <v>8</v>
      </c>
      <c r="F103" t="s">
        <v>162</v>
      </c>
      <c r="G103" t="s">
        <v>31</v>
      </c>
      <c r="H103">
        <v>3.75</v>
      </c>
      <c r="I103">
        <v>516</v>
      </c>
      <c r="J103">
        <v>516</v>
      </c>
      <c r="K103" t="str">
        <f>"9781401948443"</f>
        <v>9781401948443</v>
      </c>
      <c r="L103">
        <v>135</v>
      </c>
      <c r="M103">
        <v>20.99</v>
      </c>
      <c r="N103">
        <v>96</v>
      </c>
      <c r="O103">
        <v>96</v>
      </c>
      <c r="P103">
        <v>7.97653</v>
      </c>
      <c r="Q103" s="1">
        <v>42846</v>
      </c>
      <c r="S103" s="3" t="s">
        <v>161</v>
      </c>
      <c r="T103" s="3" t="s">
        <v>1122</v>
      </c>
      <c r="U103" s="3" t="s">
        <v>1123</v>
      </c>
      <c r="V103" s="3" t="s">
        <v>506</v>
      </c>
      <c r="W103" s="3" t="s">
        <v>506</v>
      </c>
      <c r="X103" s="3" t="s">
        <v>1124</v>
      </c>
      <c r="Y103" s="3" t="s">
        <v>638</v>
      </c>
      <c r="Z103" s="3" t="s">
        <v>610</v>
      </c>
      <c r="AA103" s="3" t="s">
        <v>508</v>
      </c>
      <c r="AB103" s="3" t="s">
        <v>509</v>
      </c>
      <c r="AC103">
        <v>12</v>
      </c>
      <c r="AD103">
        <v>34</v>
      </c>
      <c r="AE103" s="1">
        <v>43254</v>
      </c>
      <c r="AF103">
        <v>29</v>
      </c>
      <c r="AG103" s="1">
        <v>43254</v>
      </c>
      <c r="AH103">
        <v>2225</v>
      </c>
      <c r="AI103">
        <v>1981</v>
      </c>
      <c r="AJ103" s="3" t="s">
        <v>506</v>
      </c>
    </row>
    <row r="104" spans="1:36" ht="15">
      <c r="A104" t="str">
        <f t="shared" si="3"/>
        <v>0179</v>
      </c>
      <c r="B104" t="str">
        <f>"0201401948902"</f>
        <v>0201401948902</v>
      </c>
      <c r="C104" t="s">
        <v>171</v>
      </c>
      <c r="D104" t="s">
        <v>2</v>
      </c>
      <c r="E104" t="s">
        <v>8</v>
      </c>
      <c r="F104" t="s">
        <v>172</v>
      </c>
      <c r="G104" t="s">
        <v>7</v>
      </c>
      <c r="H104">
        <v>5.99</v>
      </c>
      <c r="I104">
        <v>659</v>
      </c>
      <c r="J104">
        <v>659</v>
      </c>
      <c r="K104" t="str">
        <f>"9781401948900"</f>
        <v>9781401948900</v>
      </c>
      <c r="L104">
        <v>135</v>
      </c>
      <c r="M104">
        <v>34.99</v>
      </c>
      <c r="N104">
        <v>161</v>
      </c>
      <c r="O104">
        <v>161</v>
      </c>
      <c r="P104">
        <v>13.29664</v>
      </c>
      <c r="Q104" s="1">
        <v>42846</v>
      </c>
      <c r="S104" s="3" t="s">
        <v>171</v>
      </c>
      <c r="T104" s="3" t="s">
        <v>1125</v>
      </c>
      <c r="U104" s="3" t="s">
        <v>1126</v>
      </c>
      <c r="V104" s="3" t="s">
        <v>506</v>
      </c>
      <c r="W104" s="3" t="s">
        <v>506</v>
      </c>
      <c r="X104" s="3" t="s">
        <v>1127</v>
      </c>
      <c r="Y104" s="3" t="s">
        <v>638</v>
      </c>
      <c r="Z104" s="3" t="s">
        <v>610</v>
      </c>
      <c r="AA104" s="3" t="s">
        <v>508</v>
      </c>
      <c r="AB104" s="3" t="s">
        <v>868</v>
      </c>
      <c r="AC104">
        <v>12</v>
      </c>
      <c r="AD104">
        <v>5</v>
      </c>
      <c r="AE104" s="1">
        <v>43254</v>
      </c>
      <c r="AF104">
        <v>2</v>
      </c>
      <c r="AG104" s="1">
        <v>43254</v>
      </c>
      <c r="AH104">
        <v>388</v>
      </c>
      <c r="AI104">
        <v>159</v>
      </c>
      <c r="AJ104" s="3" t="s">
        <v>506</v>
      </c>
    </row>
    <row r="105" spans="1:36" ht="15">
      <c r="A105" t="str">
        <f t="shared" si="3"/>
        <v>0179</v>
      </c>
      <c r="B105" t="str">
        <f>"0221401946340"</f>
        <v>0221401946340</v>
      </c>
      <c r="C105" t="s">
        <v>146</v>
      </c>
      <c r="D105" t="s">
        <v>2</v>
      </c>
      <c r="E105" t="s">
        <v>8</v>
      </c>
      <c r="F105" t="s">
        <v>147</v>
      </c>
      <c r="G105" t="s">
        <v>75</v>
      </c>
      <c r="H105">
        <v>5.99</v>
      </c>
      <c r="I105">
        <v>671</v>
      </c>
      <c r="J105">
        <v>671</v>
      </c>
      <c r="K105" t="str">
        <f>"9781401946340"</f>
        <v>9781401946340</v>
      </c>
      <c r="L105">
        <v>135</v>
      </c>
      <c r="M105">
        <v>37.99</v>
      </c>
      <c r="N105">
        <v>82</v>
      </c>
      <c r="O105">
        <v>82</v>
      </c>
      <c r="P105">
        <v>14.43639</v>
      </c>
      <c r="Q105" s="1">
        <v>42846</v>
      </c>
      <c r="S105" s="3" t="s">
        <v>146</v>
      </c>
      <c r="T105" s="3" t="s">
        <v>1115</v>
      </c>
      <c r="U105" s="3" t="s">
        <v>1128</v>
      </c>
      <c r="V105" s="3" t="s">
        <v>506</v>
      </c>
      <c r="W105" s="3" t="s">
        <v>506</v>
      </c>
      <c r="X105" s="3" t="s">
        <v>609</v>
      </c>
      <c r="Y105" s="3" t="s">
        <v>638</v>
      </c>
      <c r="Z105" s="3" t="s">
        <v>507</v>
      </c>
      <c r="AA105" s="3" t="s">
        <v>508</v>
      </c>
      <c r="AB105" s="3" t="s">
        <v>868</v>
      </c>
      <c r="AC105">
        <v>12</v>
      </c>
      <c r="AD105">
        <v>1</v>
      </c>
      <c r="AE105" s="1">
        <v>43254</v>
      </c>
      <c r="AF105">
        <v>1</v>
      </c>
      <c r="AG105" s="1">
        <v>43254</v>
      </c>
      <c r="AH105">
        <v>105</v>
      </c>
      <c r="AI105">
        <v>73</v>
      </c>
      <c r="AJ105" s="3" t="s">
        <v>506</v>
      </c>
    </row>
    <row r="106" spans="1:36" ht="15">
      <c r="A106" t="str">
        <f t="shared" si="3"/>
        <v>0179</v>
      </c>
      <c r="B106" t="str">
        <f>"0201401948896"</f>
        <v>0201401948896</v>
      </c>
      <c r="C106" t="s">
        <v>169</v>
      </c>
      <c r="D106" t="s">
        <v>2</v>
      </c>
      <c r="E106" t="s">
        <v>6</v>
      </c>
      <c r="F106" t="s">
        <v>170</v>
      </c>
      <c r="G106" t="s">
        <v>9</v>
      </c>
      <c r="H106">
        <v>3.99</v>
      </c>
      <c r="I106">
        <v>912</v>
      </c>
      <c r="J106">
        <v>912</v>
      </c>
      <c r="K106" t="str">
        <f>"9781401948894"</f>
        <v>9781401948894</v>
      </c>
      <c r="L106">
        <v>135</v>
      </c>
      <c r="M106">
        <v>22.5</v>
      </c>
      <c r="N106">
        <v>223</v>
      </c>
      <c r="O106">
        <v>223</v>
      </c>
      <c r="P106">
        <v>8.55</v>
      </c>
      <c r="Q106" s="1">
        <v>42846</v>
      </c>
      <c r="S106" s="3" t="s">
        <v>169</v>
      </c>
      <c r="T106" s="3" t="s">
        <v>1129</v>
      </c>
      <c r="U106" s="3" t="s">
        <v>1130</v>
      </c>
      <c r="V106" s="3" t="s">
        <v>506</v>
      </c>
      <c r="W106" s="3" t="s">
        <v>506</v>
      </c>
      <c r="X106" s="3" t="s">
        <v>806</v>
      </c>
      <c r="Y106" s="3" t="s">
        <v>638</v>
      </c>
      <c r="Z106" s="3" t="s">
        <v>610</v>
      </c>
      <c r="AA106" s="3" t="s">
        <v>508</v>
      </c>
      <c r="AB106" s="3" t="s">
        <v>1053</v>
      </c>
      <c r="AC106">
        <v>24</v>
      </c>
      <c r="AD106">
        <v>16</v>
      </c>
      <c r="AE106" s="1">
        <v>43254</v>
      </c>
      <c r="AF106">
        <v>15</v>
      </c>
      <c r="AG106" s="1">
        <v>43254</v>
      </c>
      <c r="AH106">
        <v>465</v>
      </c>
      <c r="AI106">
        <v>367</v>
      </c>
      <c r="AJ106" s="3" t="s">
        <v>506</v>
      </c>
    </row>
    <row r="107" spans="1:36" ht="15">
      <c r="A107" t="str">
        <f t="shared" si="3"/>
        <v>0179</v>
      </c>
      <c r="B107" t="str">
        <f>"0201401949398"</f>
        <v>0201401949398</v>
      </c>
      <c r="C107" t="s">
        <v>175</v>
      </c>
      <c r="D107" t="s">
        <v>2</v>
      </c>
      <c r="E107" t="s">
        <v>8</v>
      </c>
      <c r="F107" t="s">
        <v>176</v>
      </c>
      <c r="G107" t="s">
        <v>9</v>
      </c>
      <c r="H107">
        <v>5.99</v>
      </c>
      <c r="I107">
        <v>996</v>
      </c>
      <c r="J107">
        <v>996</v>
      </c>
      <c r="K107" t="str">
        <f>"9781401949396"</f>
        <v>9781401949396</v>
      </c>
      <c r="L107">
        <v>135</v>
      </c>
      <c r="M107">
        <v>36.99</v>
      </c>
      <c r="N107">
        <v>853</v>
      </c>
      <c r="O107">
        <v>853</v>
      </c>
      <c r="P107">
        <v>14.05606</v>
      </c>
      <c r="Q107" s="1">
        <v>42846</v>
      </c>
      <c r="S107" s="3" t="s">
        <v>175</v>
      </c>
      <c r="T107" s="3" t="s">
        <v>1131</v>
      </c>
      <c r="U107" s="3" t="s">
        <v>1132</v>
      </c>
      <c r="V107" s="3" t="s">
        <v>506</v>
      </c>
      <c r="W107" s="3" t="s">
        <v>506</v>
      </c>
      <c r="X107" s="3" t="s">
        <v>1133</v>
      </c>
      <c r="Y107" s="3" t="s">
        <v>638</v>
      </c>
      <c r="Z107" s="3" t="s">
        <v>610</v>
      </c>
      <c r="AA107" s="3" t="s">
        <v>508</v>
      </c>
      <c r="AB107" s="3" t="s">
        <v>905</v>
      </c>
      <c r="AC107">
        <v>12</v>
      </c>
      <c r="AD107">
        <v>96</v>
      </c>
      <c r="AE107" s="1">
        <v>43254</v>
      </c>
      <c r="AF107">
        <v>93</v>
      </c>
      <c r="AG107" s="1">
        <v>43254</v>
      </c>
      <c r="AH107">
        <v>1428</v>
      </c>
      <c r="AI107">
        <v>954</v>
      </c>
      <c r="AJ107" s="3" t="s">
        <v>506</v>
      </c>
    </row>
    <row r="108" spans="1:36" ht="15">
      <c r="A108" t="str">
        <f t="shared" si="3"/>
        <v>0179</v>
      </c>
      <c r="B108" t="str">
        <f>"0201401944362"</f>
        <v>0201401944362</v>
      </c>
      <c r="C108" t="s">
        <v>120</v>
      </c>
      <c r="D108" t="s">
        <v>2</v>
      </c>
      <c r="E108" t="s">
        <v>8</v>
      </c>
      <c r="F108" t="s">
        <v>119</v>
      </c>
      <c r="G108" t="s">
        <v>7</v>
      </c>
      <c r="H108">
        <v>5.99</v>
      </c>
      <c r="I108">
        <v>1438</v>
      </c>
      <c r="J108">
        <v>1438</v>
      </c>
      <c r="K108" t="str">
        <f>"9781401944360"</f>
        <v>9781401944360</v>
      </c>
      <c r="L108">
        <v>135</v>
      </c>
      <c r="M108">
        <v>34.99</v>
      </c>
      <c r="N108">
        <v>202</v>
      </c>
      <c r="O108">
        <v>202</v>
      </c>
      <c r="P108">
        <v>13.29663</v>
      </c>
      <c r="Q108" s="1">
        <v>42846</v>
      </c>
      <c r="S108" s="3" t="s">
        <v>120</v>
      </c>
      <c r="T108" s="3" t="s">
        <v>1134</v>
      </c>
      <c r="U108" s="3" t="s">
        <v>1135</v>
      </c>
      <c r="V108" s="3" t="s">
        <v>506</v>
      </c>
      <c r="W108" s="3" t="s">
        <v>506</v>
      </c>
      <c r="X108" s="3" t="s">
        <v>967</v>
      </c>
      <c r="Y108" s="3" t="s">
        <v>638</v>
      </c>
      <c r="Z108" s="3" t="s">
        <v>610</v>
      </c>
      <c r="AA108" s="3" t="s">
        <v>508</v>
      </c>
      <c r="AB108" s="3" t="s">
        <v>868</v>
      </c>
      <c r="AC108">
        <v>12</v>
      </c>
      <c r="AD108">
        <v>2</v>
      </c>
      <c r="AE108" s="1">
        <v>43254</v>
      </c>
      <c r="AF108">
        <v>1</v>
      </c>
      <c r="AG108" s="1">
        <v>43254</v>
      </c>
      <c r="AH108">
        <v>597</v>
      </c>
      <c r="AI108">
        <v>305</v>
      </c>
      <c r="AJ108" s="3" t="s">
        <v>506</v>
      </c>
    </row>
    <row r="109" spans="1:36" ht="15">
      <c r="A109" t="str">
        <f t="shared" si="3"/>
        <v>0179</v>
      </c>
      <c r="B109" t="str">
        <f>"0201401947622"</f>
        <v>0201401947622</v>
      </c>
      <c r="C109" t="s">
        <v>155</v>
      </c>
      <c r="D109" t="s">
        <v>2</v>
      </c>
      <c r="E109" t="s">
        <v>8</v>
      </c>
      <c r="F109" t="s">
        <v>156</v>
      </c>
      <c r="G109" t="s">
        <v>31</v>
      </c>
      <c r="H109">
        <v>5.99</v>
      </c>
      <c r="I109">
        <v>1595</v>
      </c>
      <c r="J109">
        <v>1595</v>
      </c>
      <c r="K109" t="str">
        <f>"9781401947620"</f>
        <v>9781401947620</v>
      </c>
      <c r="L109">
        <v>135</v>
      </c>
      <c r="M109">
        <v>34.99</v>
      </c>
      <c r="N109">
        <v>703</v>
      </c>
      <c r="O109">
        <v>703</v>
      </c>
      <c r="P109">
        <v>13.29662</v>
      </c>
      <c r="Q109" s="1">
        <v>42846</v>
      </c>
      <c r="S109" s="3" t="s">
        <v>155</v>
      </c>
      <c r="T109" s="3" t="s">
        <v>1136</v>
      </c>
      <c r="U109" s="3" t="s">
        <v>1137</v>
      </c>
      <c r="V109" s="3" t="s">
        <v>506</v>
      </c>
      <c r="W109" s="3" t="s">
        <v>506</v>
      </c>
      <c r="X109" s="3" t="s">
        <v>1124</v>
      </c>
      <c r="Y109" s="3" t="s">
        <v>638</v>
      </c>
      <c r="Z109" s="3" t="s">
        <v>610</v>
      </c>
      <c r="AA109" s="3" t="s">
        <v>508</v>
      </c>
      <c r="AB109" s="3" t="s">
        <v>1053</v>
      </c>
      <c r="AC109">
        <v>12</v>
      </c>
      <c r="AD109">
        <v>114</v>
      </c>
      <c r="AE109" s="1">
        <v>43254</v>
      </c>
      <c r="AF109">
        <v>107</v>
      </c>
      <c r="AG109" s="1">
        <v>43254</v>
      </c>
      <c r="AH109">
        <v>2129</v>
      </c>
      <c r="AI109">
        <v>1635</v>
      </c>
      <c r="AJ109" s="3" t="s">
        <v>506</v>
      </c>
    </row>
    <row r="110" spans="1:36" ht="15">
      <c r="A110" t="str">
        <f t="shared" si="3"/>
        <v>0179</v>
      </c>
      <c r="B110" t="str">
        <f>"0201401948520"</f>
        <v>0201401948520</v>
      </c>
      <c r="C110" t="s">
        <v>163</v>
      </c>
      <c r="D110" t="s">
        <v>46</v>
      </c>
      <c r="E110" t="s">
        <v>8</v>
      </c>
      <c r="F110" t="s">
        <v>164</v>
      </c>
      <c r="G110" t="s">
        <v>31</v>
      </c>
      <c r="H110">
        <v>4.99</v>
      </c>
      <c r="I110">
        <v>3864</v>
      </c>
      <c r="J110">
        <v>3864</v>
      </c>
      <c r="K110" t="str">
        <f>"9781401948528"</f>
        <v>9781401948528</v>
      </c>
      <c r="L110">
        <v>135</v>
      </c>
      <c r="M110">
        <v>32.5</v>
      </c>
      <c r="N110">
        <v>135</v>
      </c>
      <c r="O110">
        <v>135</v>
      </c>
      <c r="P110">
        <v>12.35</v>
      </c>
      <c r="Q110" s="1">
        <v>42846</v>
      </c>
      <c r="S110" s="3" t="s">
        <v>163</v>
      </c>
      <c r="T110" s="3" t="s">
        <v>1138</v>
      </c>
      <c r="U110" s="3" t="s">
        <v>1139</v>
      </c>
      <c r="V110" s="3" t="s">
        <v>506</v>
      </c>
      <c r="W110" s="3" t="s">
        <v>506</v>
      </c>
      <c r="X110" s="3" t="s">
        <v>1124</v>
      </c>
      <c r="Y110" s="3" t="s">
        <v>638</v>
      </c>
      <c r="Z110" s="3" t="s">
        <v>610</v>
      </c>
      <c r="AA110" s="3" t="s">
        <v>508</v>
      </c>
      <c r="AB110" s="3" t="s">
        <v>868</v>
      </c>
      <c r="AC110">
        <v>12</v>
      </c>
      <c r="AD110">
        <v>52</v>
      </c>
      <c r="AE110" s="1">
        <v>43254</v>
      </c>
      <c r="AF110">
        <v>46</v>
      </c>
      <c r="AG110" s="1">
        <v>43254</v>
      </c>
      <c r="AH110">
        <v>2910</v>
      </c>
      <c r="AI110">
        <v>2095</v>
      </c>
      <c r="AJ110" s="3" t="s">
        <v>506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paddy</dc:creator>
  <cp:keywords/>
  <dc:description/>
  <cp:lastModifiedBy>paddy</cp:lastModifiedBy>
  <cp:lastPrinted>2018-06-19T20:32:34Z</cp:lastPrinted>
  <dcterms:created xsi:type="dcterms:W3CDTF">2018-06-07T23:48:13Z</dcterms:created>
  <dcterms:modified xsi:type="dcterms:W3CDTF">2018-06-19T20:34:23Z</dcterms:modified>
  <cp:category/>
  <cp:version/>
  <cp:contentType/>
  <cp:contentStatus/>
</cp:coreProperties>
</file>